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byt\f28\"/>
    </mc:Choice>
  </mc:AlternateContent>
  <xr:revisionPtr revIDLastSave="0" documentId="8_{5B342A5F-CFC5-4186-BB0F-D4A46B86BF9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Rozpis zápasů 26-27" sheetId="1" r:id="rId1"/>
    <sheet name="Seznam zápasů" sheetId="2" r:id="rId2"/>
    <sheet name="Data družstev" sheetId="3" r:id="rId3"/>
    <sheet name="Výběr družstva" sheetId="4" r:id="rId4"/>
    <sheet name="Tisk družstva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5" l="1"/>
  <c r="A1" i="5"/>
  <c r="I120" i="4"/>
  <c r="I119" i="5" s="1"/>
  <c r="H120" i="4"/>
  <c r="H119" i="5" s="1"/>
  <c r="G120" i="4"/>
  <c r="G119" i="5" s="1"/>
  <c r="F120" i="4"/>
  <c r="F119" i="5" s="1"/>
  <c r="E120" i="4"/>
  <c r="E119" i="5" s="1"/>
  <c r="D120" i="4"/>
  <c r="D119" i="5" s="1"/>
  <c r="C120" i="4"/>
  <c r="C119" i="5" s="1"/>
  <c r="B120" i="4"/>
  <c r="B119" i="5" s="1"/>
  <c r="A120" i="4"/>
  <c r="A119" i="5" s="1"/>
  <c r="I119" i="4"/>
  <c r="I118" i="5" s="1"/>
  <c r="H119" i="4"/>
  <c r="H118" i="5" s="1"/>
  <c r="G119" i="4"/>
  <c r="G118" i="5" s="1"/>
  <c r="F119" i="4"/>
  <c r="F118" i="5" s="1"/>
  <c r="E119" i="4"/>
  <c r="E118" i="5" s="1"/>
  <c r="D119" i="4"/>
  <c r="D118" i="5" s="1"/>
  <c r="C119" i="4"/>
  <c r="C118" i="5" s="1"/>
  <c r="B119" i="4"/>
  <c r="B118" i="5" s="1"/>
  <c r="A119" i="4"/>
  <c r="A118" i="5" s="1"/>
  <c r="I118" i="4"/>
  <c r="I117" i="5" s="1"/>
  <c r="H118" i="4"/>
  <c r="H117" i="5" s="1"/>
  <c r="G118" i="4"/>
  <c r="G117" i="5" s="1"/>
  <c r="F118" i="4"/>
  <c r="F117" i="5" s="1"/>
  <c r="E118" i="4"/>
  <c r="E117" i="5" s="1"/>
  <c r="D118" i="4"/>
  <c r="D117" i="5" s="1"/>
  <c r="C118" i="4"/>
  <c r="C117" i="5" s="1"/>
  <c r="B118" i="4"/>
  <c r="B117" i="5" s="1"/>
  <c r="A118" i="4"/>
  <c r="A117" i="5" s="1"/>
  <c r="I117" i="4"/>
  <c r="I116" i="5" s="1"/>
  <c r="H117" i="4"/>
  <c r="H116" i="5" s="1"/>
  <c r="G117" i="4"/>
  <c r="G116" i="5" s="1"/>
  <c r="F117" i="4"/>
  <c r="F116" i="5" s="1"/>
  <c r="E117" i="4"/>
  <c r="E116" i="5" s="1"/>
  <c r="D117" i="4"/>
  <c r="D116" i="5" s="1"/>
  <c r="C117" i="4"/>
  <c r="C116" i="5" s="1"/>
  <c r="B117" i="4"/>
  <c r="B116" i="5" s="1"/>
  <c r="A117" i="4"/>
  <c r="A116" i="5" s="1"/>
  <c r="I116" i="4"/>
  <c r="I115" i="5" s="1"/>
  <c r="H116" i="4"/>
  <c r="H115" i="5" s="1"/>
  <c r="G116" i="4"/>
  <c r="G115" i="5" s="1"/>
  <c r="F116" i="4"/>
  <c r="F115" i="5" s="1"/>
  <c r="E116" i="4"/>
  <c r="E115" i="5" s="1"/>
  <c r="D116" i="4"/>
  <c r="D115" i="5" s="1"/>
  <c r="C116" i="4"/>
  <c r="C115" i="5" s="1"/>
  <c r="B116" i="4"/>
  <c r="B115" i="5" s="1"/>
  <c r="A116" i="4"/>
  <c r="A115" i="5" s="1"/>
  <c r="I115" i="4"/>
  <c r="I114" i="5" s="1"/>
  <c r="H115" i="4"/>
  <c r="H114" i="5" s="1"/>
  <c r="G115" i="4"/>
  <c r="G114" i="5" s="1"/>
  <c r="F115" i="4"/>
  <c r="F114" i="5" s="1"/>
  <c r="E115" i="4"/>
  <c r="E114" i="5" s="1"/>
  <c r="D115" i="4"/>
  <c r="D114" i="5" s="1"/>
  <c r="C115" i="4"/>
  <c r="C114" i="5" s="1"/>
  <c r="B115" i="4"/>
  <c r="B114" i="5" s="1"/>
  <c r="A115" i="4"/>
  <c r="A114" i="5" s="1"/>
  <c r="I114" i="4"/>
  <c r="I113" i="5" s="1"/>
  <c r="H114" i="4"/>
  <c r="H113" i="5" s="1"/>
  <c r="G114" i="4"/>
  <c r="G113" i="5" s="1"/>
  <c r="F114" i="4"/>
  <c r="F113" i="5" s="1"/>
  <c r="E114" i="4"/>
  <c r="E113" i="5" s="1"/>
  <c r="D114" i="4"/>
  <c r="D113" i="5" s="1"/>
  <c r="C114" i="4"/>
  <c r="C113" i="5" s="1"/>
  <c r="B114" i="4"/>
  <c r="B113" i="5" s="1"/>
  <c r="A114" i="4"/>
  <c r="A113" i="5" s="1"/>
  <c r="I113" i="4"/>
  <c r="I112" i="5" s="1"/>
  <c r="H113" i="4"/>
  <c r="H112" i="5" s="1"/>
  <c r="G113" i="4"/>
  <c r="G112" i="5" s="1"/>
  <c r="F113" i="4"/>
  <c r="F112" i="5" s="1"/>
  <c r="E113" i="4"/>
  <c r="E112" i="5" s="1"/>
  <c r="D113" i="4"/>
  <c r="D112" i="5" s="1"/>
  <c r="C113" i="4"/>
  <c r="C112" i="5" s="1"/>
  <c r="B113" i="4"/>
  <c r="B112" i="5" s="1"/>
  <c r="A113" i="4"/>
  <c r="A112" i="5" s="1"/>
  <c r="I112" i="4"/>
  <c r="I111" i="5" s="1"/>
  <c r="H112" i="4"/>
  <c r="H111" i="5" s="1"/>
  <c r="G112" i="4"/>
  <c r="G111" i="5" s="1"/>
  <c r="F112" i="4"/>
  <c r="F111" i="5" s="1"/>
  <c r="E112" i="4"/>
  <c r="E111" i="5" s="1"/>
  <c r="D112" i="4"/>
  <c r="D111" i="5" s="1"/>
  <c r="C112" i="4"/>
  <c r="C111" i="5" s="1"/>
  <c r="B112" i="4"/>
  <c r="B111" i="5" s="1"/>
  <c r="A112" i="4"/>
  <c r="A111" i="5" s="1"/>
  <c r="I111" i="4"/>
  <c r="I110" i="5" s="1"/>
  <c r="H111" i="4"/>
  <c r="H110" i="5" s="1"/>
  <c r="G111" i="4"/>
  <c r="G110" i="5" s="1"/>
  <c r="F111" i="4"/>
  <c r="F110" i="5" s="1"/>
  <c r="E111" i="4"/>
  <c r="E110" i="5" s="1"/>
  <c r="D111" i="4"/>
  <c r="D110" i="5" s="1"/>
  <c r="C111" i="4"/>
  <c r="C110" i="5" s="1"/>
  <c r="B111" i="4"/>
  <c r="B110" i="5" s="1"/>
  <c r="A111" i="4"/>
  <c r="A110" i="5" s="1"/>
  <c r="I110" i="4"/>
  <c r="I109" i="5" s="1"/>
  <c r="H110" i="4"/>
  <c r="H109" i="5" s="1"/>
  <c r="G110" i="4"/>
  <c r="G109" i="5" s="1"/>
  <c r="F110" i="4"/>
  <c r="F109" i="5" s="1"/>
  <c r="E110" i="4"/>
  <c r="E109" i="5" s="1"/>
  <c r="D110" i="4"/>
  <c r="D109" i="5" s="1"/>
  <c r="C110" i="4"/>
  <c r="C109" i="5" s="1"/>
  <c r="B110" i="4"/>
  <c r="B109" i="5" s="1"/>
  <c r="A110" i="4"/>
  <c r="A109" i="5" s="1"/>
  <c r="I109" i="4"/>
  <c r="I108" i="5" s="1"/>
  <c r="H109" i="4"/>
  <c r="H108" i="5" s="1"/>
  <c r="G109" i="4"/>
  <c r="G108" i="5" s="1"/>
  <c r="F109" i="4"/>
  <c r="F108" i="5" s="1"/>
  <c r="E109" i="4"/>
  <c r="E108" i="5" s="1"/>
  <c r="D109" i="4"/>
  <c r="D108" i="5" s="1"/>
  <c r="C109" i="4"/>
  <c r="C108" i="5" s="1"/>
  <c r="B109" i="4"/>
  <c r="B108" i="5" s="1"/>
  <c r="A109" i="4"/>
  <c r="A108" i="5" s="1"/>
  <c r="I108" i="4"/>
  <c r="I107" i="5" s="1"/>
  <c r="H108" i="4"/>
  <c r="H107" i="5" s="1"/>
  <c r="G108" i="4"/>
  <c r="G107" i="5" s="1"/>
  <c r="F108" i="4"/>
  <c r="F107" i="5" s="1"/>
  <c r="E108" i="4"/>
  <c r="E107" i="5" s="1"/>
  <c r="D108" i="4"/>
  <c r="D107" i="5" s="1"/>
  <c r="C108" i="4"/>
  <c r="C107" i="5" s="1"/>
  <c r="B108" i="4"/>
  <c r="B107" i="5" s="1"/>
  <c r="A108" i="4"/>
  <c r="A107" i="5" s="1"/>
  <c r="I107" i="4"/>
  <c r="I106" i="5" s="1"/>
  <c r="H107" i="4"/>
  <c r="H106" i="5" s="1"/>
  <c r="G107" i="4"/>
  <c r="G106" i="5" s="1"/>
  <c r="F107" i="4"/>
  <c r="F106" i="5" s="1"/>
  <c r="E107" i="4"/>
  <c r="E106" i="5" s="1"/>
  <c r="D107" i="4"/>
  <c r="D106" i="5" s="1"/>
  <c r="C107" i="4"/>
  <c r="C106" i="5" s="1"/>
  <c r="B107" i="4"/>
  <c r="B106" i="5" s="1"/>
  <c r="A107" i="4"/>
  <c r="A106" i="5" s="1"/>
  <c r="I106" i="4"/>
  <c r="I105" i="5" s="1"/>
  <c r="H106" i="4"/>
  <c r="H105" i="5" s="1"/>
  <c r="G106" i="4"/>
  <c r="G105" i="5" s="1"/>
  <c r="F106" i="4"/>
  <c r="F105" i="5" s="1"/>
  <c r="E106" i="4"/>
  <c r="E105" i="5" s="1"/>
  <c r="D106" i="4"/>
  <c r="D105" i="5" s="1"/>
  <c r="C106" i="4"/>
  <c r="C105" i="5" s="1"/>
  <c r="B106" i="4"/>
  <c r="B105" i="5" s="1"/>
  <c r="A106" i="4"/>
  <c r="A105" i="5" s="1"/>
  <c r="I105" i="4"/>
  <c r="I104" i="5" s="1"/>
  <c r="H105" i="4"/>
  <c r="H104" i="5" s="1"/>
  <c r="G105" i="4"/>
  <c r="G104" i="5" s="1"/>
  <c r="F105" i="4"/>
  <c r="F104" i="5" s="1"/>
  <c r="E105" i="4"/>
  <c r="E104" i="5" s="1"/>
  <c r="D105" i="4"/>
  <c r="D104" i="5" s="1"/>
  <c r="C105" i="4"/>
  <c r="C104" i="5" s="1"/>
  <c r="B105" i="4"/>
  <c r="B104" i="5" s="1"/>
  <c r="A105" i="4"/>
  <c r="A104" i="5" s="1"/>
  <c r="I104" i="4"/>
  <c r="I103" i="5" s="1"/>
  <c r="H104" i="4"/>
  <c r="H103" i="5" s="1"/>
  <c r="G104" i="4"/>
  <c r="G103" i="5" s="1"/>
  <c r="F104" i="4"/>
  <c r="F103" i="5" s="1"/>
  <c r="E104" i="4"/>
  <c r="E103" i="5" s="1"/>
  <c r="D104" i="4"/>
  <c r="D103" i="5" s="1"/>
  <c r="C104" i="4"/>
  <c r="C103" i="5" s="1"/>
  <c r="B104" i="4"/>
  <c r="B103" i="5" s="1"/>
  <c r="A104" i="4"/>
  <c r="A103" i="5" s="1"/>
  <c r="I103" i="4"/>
  <c r="I102" i="5" s="1"/>
  <c r="H103" i="4"/>
  <c r="H102" i="5" s="1"/>
  <c r="G103" i="4"/>
  <c r="G102" i="5" s="1"/>
  <c r="F103" i="4"/>
  <c r="F102" i="5" s="1"/>
  <c r="E103" i="4"/>
  <c r="E102" i="5" s="1"/>
  <c r="D103" i="4"/>
  <c r="D102" i="5" s="1"/>
  <c r="C103" i="4"/>
  <c r="C102" i="5" s="1"/>
  <c r="B103" i="4"/>
  <c r="B102" i="5" s="1"/>
  <c r="A103" i="4"/>
  <c r="A102" i="5" s="1"/>
  <c r="I102" i="4"/>
  <c r="I101" i="5" s="1"/>
  <c r="H102" i="4"/>
  <c r="H101" i="5" s="1"/>
  <c r="G102" i="4"/>
  <c r="G101" i="5" s="1"/>
  <c r="F102" i="4"/>
  <c r="F101" i="5" s="1"/>
  <c r="E102" i="4"/>
  <c r="E101" i="5" s="1"/>
  <c r="D102" i="4"/>
  <c r="D101" i="5" s="1"/>
  <c r="C102" i="4"/>
  <c r="C101" i="5" s="1"/>
  <c r="B102" i="4"/>
  <c r="B101" i="5" s="1"/>
  <c r="A102" i="4"/>
  <c r="A101" i="5" s="1"/>
  <c r="I101" i="4"/>
  <c r="I100" i="5" s="1"/>
  <c r="H101" i="4"/>
  <c r="H100" i="5" s="1"/>
  <c r="G101" i="4"/>
  <c r="G100" i="5" s="1"/>
  <c r="F101" i="4"/>
  <c r="F100" i="5" s="1"/>
  <c r="E101" i="4"/>
  <c r="E100" i="5" s="1"/>
  <c r="D101" i="4"/>
  <c r="D100" i="5" s="1"/>
  <c r="C101" i="4"/>
  <c r="C100" i="5" s="1"/>
  <c r="B101" i="4"/>
  <c r="B100" i="5" s="1"/>
  <c r="A101" i="4"/>
  <c r="A100" i="5" s="1"/>
  <c r="I100" i="4"/>
  <c r="I99" i="5" s="1"/>
  <c r="H100" i="4"/>
  <c r="H99" i="5" s="1"/>
  <c r="G100" i="4"/>
  <c r="G99" i="5" s="1"/>
  <c r="F100" i="4"/>
  <c r="F99" i="5" s="1"/>
  <c r="E100" i="4"/>
  <c r="E99" i="5" s="1"/>
  <c r="D100" i="4"/>
  <c r="D99" i="5" s="1"/>
  <c r="C100" i="4"/>
  <c r="C99" i="5" s="1"/>
  <c r="B100" i="4"/>
  <c r="B99" i="5" s="1"/>
  <c r="A100" i="4"/>
  <c r="A99" i="5" s="1"/>
  <c r="I99" i="4"/>
  <c r="I98" i="5" s="1"/>
  <c r="H99" i="4"/>
  <c r="H98" i="5" s="1"/>
  <c r="G99" i="4"/>
  <c r="G98" i="5" s="1"/>
  <c r="F99" i="4"/>
  <c r="F98" i="5" s="1"/>
  <c r="E99" i="4"/>
  <c r="E98" i="5" s="1"/>
  <c r="D99" i="4"/>
  <c r="D98" i="5" s="1"/>
  <c r="C99" i="4"/>
  <c r="C98" i="5" s="1"/>
  <c r="B99" i="4"/>
  <c r="B98" i="5" s="1"/>
  <c r="A99" i="4"/>
  <c r="A98" i="5" s="1"/>
  <c r="I98" i="4"/>
  <c r="I97" i="5" s="1"/>
  <c r="H98" i="4"/>
  <c r="H97" i="5" s="1"/>
  <c r="G98" i="4"/>
  <c r="G97" i="5" s="1"/>
  <c r="F98" i="4"/>
  <c r="F97" i="5" s="1"/>
  <c r="E98" i="4"/>
  <c r="E97" i="5" s="1"/>
  <c r="D98" i="4"/>
  <c r="D97" i="5" s="1"/>
  <c r="C98" i="4"/>
  <c r="C97" i="5" s="1"/>
  <c r="B98" i="4"/>
  <c r="B97" i="5" s="1"/>
  <c r="A98" i="4"/>
  <c r="A97" i="5" s="1"/>
  <c r="I97" i="4"/>
  <c r="I96" i="5" s="1"/>
  <c r="H97" i="4"/>
  <c r="H96" i="5" s="1"/>
  <c r="G97" i="4"/>
  <c r="G96" i="5" s="1"/>
  <c r="F97" i="4"/>
  <c r="F96" i="5" s="1"/>
  <c r="E97" i="4"/>
  <c r="E96" i="5" s="1"/>
  <c r="D97" i="4"/>
  <c r="D96" i="5" s="1"/>
  <c r="C97" i="4"/>
  <c r="C96" i="5" s="1"/>
  <c r="B97" i="4"/>
  <c r="B96" i="5" s="1"/>
  <c r="A97" i="4"/>
  <c r="A96" i="5" s="1"/>
  <c r="I96" i="4"/>
  <c r="I95" i="5" s="1"/>
  <c r="H96" i="4"/>
  <c r="H95" i="5" s="1"/>
  <c r="G96" i="4"/>
  <c r="G95" i="5" s="1"/>
  <c r="F96" i="4"/>
  <c r="F95" i="5" s="1"/>
  <c r="E96" i="4"/>
  <c r="E95" i="5" s="1"/>
  <c r="D96" i="4"/>
  <c r="D95" i="5" s="1"/>
  <c r="C96" i="4"/>
  <c r="C95" i="5" s="1"/>
  <c r="B96" i="4"/>
  <c r="B95" i="5" s="1"/>
  <c r="A96" i="4"/>
  <c r="A95" i="5" s="1"/>
  <c r="I95" i="4"/>
  <c r="I94" i="5" s="1"/>
  <c r="H95" i="4"/>
  <c r="H94" i="5" s="1"/>
  <c r="G95" i="4"/>
  <c r="G94" i="5" s="1"/>
  <c r="F95" i="4"/>
  <c r="F94" i="5" s="1"/>
  <c r="E95" i="4"/>
  <c r="E94" i="5" s="1"/>
  <c r="D95" i="4"/>
  <c r="D94" i="5" s="1"/>
  <c r="C95" i="4"/>
  <c r="C94" i="5" s="1"/>
  <c r="B95" i="4"/>
  <c r="B94" i="5" s="1"/>
  <c r="A95" i="4"/>
  <c r="A94" i="5" s="1"/>
  <c r="I94" i="4"/>
  <c r="I93" i="5" s="1"/>
  <c r="H94" i="4"/>
  <c r="H93" i="5" s="1"/>
  <c r="G94" i="4"/>
  <c r="G93" i="5" s="1"/>
  <c r="F94" i="4"/>
  <c r="F93" i="5" s="1"/>
  <c r="E94" i="4"/>
  <c r="E93" i="5" s="1"/>
  <c r="D94" i="4"/>
  <c r="D93" i="5" s="1"/>
  <c r="C94" i="4"/>
  <c r="C93" i="5" s="1"/>
  <c r="B94" i="4"/>
  <c r="B93" i="5" s="1"/>
  <c r="A94" i="4"/>
  <c r="A93" i="5" s="1"/>
  <c r="I93" i="4"/>
  <c r="I92" i="5" s="1"/>
  <c r="H93" i="4"/>
  <c r="H92" i="5" s="1"/>
  <c r="G93" i="4"/>
  <c r="G92" i="5" s="1"/>
  <c r="F93" i="4"/>
  <c r="F92" i="5" s="1"/>
  <c r="E93" i="4"/>
  <c r="E92" i="5" s="1"/>
  <c r="D93" i="4"/>
  <c r="D92" i="5" s="1"/>
  <c r="C93" i="4"/>
  <c r="C92" i="5" s="1"/>
  <c r="B93" i="4"/>
  <c r="B92" i="5" s="1"/>
  <c r="A93" i="4"/>
  <c r="A92" i="5" s="1"/>
  <c r="I92" i="4"/>
  <c r="I91" i="5" s="1"/>
  <c r="H92" i="4"/>
  <c r="H91" i="5" s="1"/>
  <c r="G92" i="4"/>
  <c r="G91" i="5" s="1"/>
  <c r="F92" i="4"/>
  <c r="F91" i="5" s="1"/>
  <c r="E92" i="4"/>
  <c r="E91" i="5" s="1"/>
  <c r="D92" i="4"/>
  <c r="D91" i="5" s="1"/>
  <c r="C92" i="4"/>
  <c r="C91" i="5" s="1"/>
  <c r="B92" i="4"/>
  <c r="B91" i="5" s="1"/>
  <c r="A92" i="4"/>
  <c r="A91" i="5" s="1"/>
  <c r="I91" i="4"/>
  <c r="I90" i="5" s="1"/>
  <c r="H91" i="4"/>
  <c r="H90" i="5" s="1"/>
  <c r="G91" i="4"/>
  <c r="G90" i="5" s="1"/>
  <c r="F91" i="4"/>
  <c r="F90" i="5" s="1"/>
  <c r="E91" i="4"/>
  <c r="E90" i="5" s="1"/>
  <c r="D91" i="4"/>
  <c r="D90" i="5" s="1"/>
  <c r="C91" i="4"/>
  <c r="C90" i="5" s="1"/>
  <c r="B91" i="4"/>
  <c r="B90" i="5" s="1"/>
  <c r="A91" i="4"/>
  <c r="A90" i="5" s="1"/>
  <c r="I90" i="4"/>
  <c r="I89" i="5" s="1"/>
  <c r="H90" i="4"/>
  <c r="H89" i="5" s="1"/>
  <c r="G90" i="4"/>
  <c r="G89" i="5" s="1"/>
  <c r="F90" i="4"/>
  <c r="F89" i="5" s="1"/>
  <c r="E90" i="4"/>
  <c r="E89" i="5" s="1"/>
  <c r="D90" i="4"/>
  <c r="D89" i="5" s="1"/>
  <c r="C90" i="4"/>
  <c r="C89" i="5" s="1"/>
  <c r="B90" i="4"/>
  <c r="B89" i="5" s="1"/>
  <c r="A90" i="4"/>
  <c r="A89" i="5" s="1"/>
  <c r="I89" i="4"/>
  <c r="I88" i="5" s="1"/>
  <c r="H89" i="4"/>
  <c r="H88" i="5" s="1"/>
  <c r="G89" i="4"/>
  <c r="G88" i="5" s="1"/>
  <c r="F89" i="4"/>
  <c r="F88" i="5" s="1"/>
  <c r="E89" i="4"/>
  <c r="E88" i="5" s="1"/>
  <c r="D89" i="4"/>
  <c r="D88" i="5" s="1"/>
  <c r="C89" i="4"/>
  <c r="C88" i="5" s="1"/>
  <c r="B89" i="4"/>
  <c r="B88" i="5" s="1"/>
  <c r="A89" i="4"/>
  <c r="A88" i="5" s="1"/>
  <c r="I88" i="4"/>
  <c r="I87" i="5" s="1"/>
  <c r="H88" i="4"/>
  <c r="H87" i="5" s="1"/>
  <c r="G88" i="4"/>
  <c r="G87" i="5" s="1"/>
  <c r="F88" i="4"/>
  <c r="F87" i="5" s="1"/>
  <c r="E88" i="4"/>
  <c r="E87" i="5" s="1"/>
  <c r="D88" i="4"/>
  <c r="D87" i="5" s="1"/>
  <c r="C88" i="4"/>
  <c r="C87" i="5" s="1"/>
  <c r="B88" i="4"/>
  <c r="B87" i="5" s="1"/>
  <c r="A88" i="4"/>
  <c r="A87" i="5" s="1"/>
  <c r="I87" i="4"/>
  <c r="I86" i="5" s="1"/>
  <c r="H87" i="4"/>
  <c r="H86" i="5" s="1"/>
  <c r="G87" i="4"/>
  <c r="G86" i="5" s="1"/>
  <c r="F87" i="4"/>
  <c r="F86" i="5" s="1"/>
  <c r="E87" i="4"/>
  <c r="E86" i="5" s="1"/>
  <c r="D87" i="4"/>
  <c r="D86" i="5" s="1"/>
  <c r="C87" i="4"/>
  <c r="C86" i="5" s="1"/>
  <c r="B87" i="4"/>
  <c r="B86" i="5" s="1"/>
  <c r="A87" i="4"/>
  <c r="A86" i="5" s="1"/>
  <c r="I86" i="4"/>
  <c r="I85" i="5" s="1"/>
  <c r="H86" i="4"/>
  <c r="H85" i="5" s="1"/>
  <c r="G86" i="4"/>
  <c r="G85" i="5" s="1"/>
  <c r="F86" i="4"/>
  <c r="F85" i="5" s="1"/>
  <c r="E86" i="4"/>
  <c r="E85" i="5" s="1"/>
  <c r="D86" i="4"/>
  <c r="D85" i="5" s="1"/>
  <c r="C86" i="4"/>
  <c r="C85" i="5" s="1"/>
  <c r="B86" i="4"/>
  <c r="B85" i="5" s="1"/>
  <c r="A86" i="4"/>
  <c r="A85" i="5" s="1"/>
  <c r="I85" i="4"/>
  <c r="I84" i="5" s="1"/>
  <c r="H85" i="4"/>
  <c r="H84" i="5" s="1"/>
  <c r="G85" i="4"/>
  <c r="G84" i="5" s="1"/>
  <c r="F85" i="4"/>
  <c r="F84" i="5" s="1"/>
  <c r="E85" i="4"/>
  <c r="E84" i="5" s="1"/>
  <c r="D85" i="4"/>
  <c r="D84" i="5" s="1"/>
  <c r="C85" i="4"/>
  <c r="C84" i="5" s="1"/>
  <c r="B85" i="4"/>
  <c r="B84" i="5" s="1"/>
  <c r="A85" i="4"/>
  <c r="A84" i="5" s="1"/>
  <c r="I84" i="4"/>
  <c r="I83" i="5" s="1"/>
  <c r="H84" i="4"/>
  <c r="H83" i="5" s="1"/>
  <c r="G84" i="4"/>
  <c r="G83" i="5" s="1"/>
  <c r="F84" i="4"/>
  <c r="F83" i="5" s="1"/>
  <c r="E84" i="4"/>
  <c r="E83" i="5" s="1"/>
  <c r="D84" i="4"/>
  <c r="D83" i="5" s="1"/>
  <c r="C84" i="4"/>
  <c r="C83" i="5" s="1"/>
  <c r="B84" i="4"/>
  <c r="B83" i="5" s="1"/>
  <c r="A84" i="4"/>
  <c r="A83" i="5" s="1"/>
  <c r="I83" i="4"/>
  <c r="I82" i="5" s="1"/>
  <c r="H83" i="4"/>
  <c r="H82" i="5" s="1"/>
  <c r="G83" i="4"/>
  <c r="G82" i="5" s="1"/>
  <c r="F83" i="4"/>
  <c r="F82" i="5" s="1"/>
  <c r="E83" i="4"/>
  <c r="E82" i="5" s="1"/>
  <c r="D83" i="4"/>
  <c r="D82" i="5" s="1"/>
  <c r="C83" i="4"/>
  <c r="C82" i="5" s="1"/>
  <c r="B83" i="4"/>
  <c r="B82" i="5" s="1"/>
  <c r="A83" i="4"/>
  <c r="A82" i="5" s="1"/>
  <c r="I82" i="4"/>
  <c r="I81" i="5" s="1"/>
  <c r="H82" i="4"/>
  <c r="H81" i="5" s="1"/>
  <c r="G82" i="4"/>
  <c r="G81" i="5" s="1"/>
  <c r="F82" i="4"/>
  <c r="F81" i="5" s="1"/>
  <c r="E82" i="4"/>
  <c r="E81" i="5" s="1"/>
  <c r="D82" i="4"/>
  <c r="D81" i="5" s="1"/>
  <c r="C82" i="4"/>
  <c r="C81" i="5" s="1"/>
  <c r="B82" i="4"/>
  <c r="B81" i="5" s="1"/>
  <c r="A82" i="4"/>
  <c r="A81" i="5" s="1"/>
  <c r="I81" i="4"/>
  <c r="I80" i="5" s="1"/>
  <c r="H81" i="4"/>
  <c r="H80" i="5" s="1"/>
  <c r="G81" i="4"/>
  <c r="G80" i="5" s="1"/>
  <c r="F81" i="4"/>
  <c r="F80" i="5" s="1"/>
  <c r="E81" i="4"/>
  <c r="E80" i="5" s="1"/>
  <c r="D81" i="4"/>
  <c r="D80" i="5" s="1"/>
  <c r="C81" i="4"/>
  <c r="C80" i="5" s="1"/>
  <c r="B81" i="4"/>
  <c r="B80" i="5" s="1"/>
  <c r="A81" i="4"/>
  <c r="A80" i="5" s="1"/>
  <c r="I80" i="4"/>
  <c r="I79" i="5" s="1"/>
  <c r="H80" i="4"/>
  <c r="H79" i="5" s="1"/>
  <c r="G80" i="4"/>
  <c r="G79" i="5" s="1"/>
  <c r="F80" i="4"/>
  <c r="F79" i="5" s="1"/>
  <c r="E80" i="4"/>
  <c r="E79" i="5" s="1"/>
  <c r="D80" i="4"/>
  <c r="D79" i="5" s="1"/>
  <c r="C80" i="4"/>
  <c r="C79" i="5" s="1"/>
  <c r="B80" i="4"/>
  <c r="B79" i="5" s="1"/>
  <c r="A80" i="4"/>
  <c r="A79" i="5" s="1"/>
  <c r="I79" i="4"/>
  <c r="I78" i="5" s="1"/>
  <c r="H79" i="4"/>
  <c r="H78" i="5" s="1"/>
  <c r="G79" i="4"/>
  <c r="G78" i="5" s="1"/>
  <c r="F79" i="4"/>
  <c r="F78" i="5" s="1"/>
  <c r="E79" i="4"/>
  <c r="E78" i="5" s="1"/>
  <c r="D79" i="4"/>
  <c r="D78" i="5" s="1"/>
  <c r="C79" i="4"/>
  <c r="C78" i="5" s="1"/>
  <c r="B79" i="4"/>
  <c r="B78" i="5" s="1"/>
  <c r="A79" i="4"/>
  <c r="A78" i="5" s="1"/>
  <c r="I78" i="4"/>
  <c r="I77" i="5" s="1"/>
  <c r="H78" i="4"/>
  <c r="H77" i="5" s="1"/>
  <c r="G78" i="4"/>
  <c r="G77" i="5" s="1"/>
  <c r="F78" i="4"/>
  <c r="F77" i="5" s="1"/>
  <c r="E78" i="4"/>
  <c r="E77" i="5" s="1"/>
  <c r="D78" i="4"/>
  <c r="D77" i="5" s="1"/>
  <c r="C78" i="4"/>
  <c r="C77" i="5" s="1"/>
  <c r="B78" i="4"/>
  <c r="B77" i="5" s="1"/>
  <c r="A78" i="4"/>
  <c r="A77" i="5" s="1"/>
  <c r="I77" i="4"/>
  <c r="I76" i="5" s="1"/>
  <c r="H77" i="4"/>
  <c r="H76" i="5" s="1"/>
  <c r="G77" i="4"/>
  <c r="G76" i="5" s="1"/>
  <c r="F77" i="4"/>
  <c r="F76" i="5" s="1"/>
  <c r="E77" i="4"/>
  <c r="E76" i="5" s="1"/>
  <c r="D77" i="4"/>
  <c r="D76" i="5" s="1"/>
  <c r="C77" i="4"/>
  <c r="C76" i="5" s="1"/>
  <c r="B77" i="4"/>
  <c r="B76" i="5" s="1"/>
  <c r="A77" i="4"/>
  <c r="A76" i="5" s="1"/>
  <c r="I76" i="4"/>
  <c r="I75" i="5" s="1"/>
  <c r="H76" i="4"/>
  <c r="H75" i="5" s="1"/>
  <c r="G76" i="4"/>
  <c r="G75" i="5" s="1"/>
  <c r="F76" i="4"/>
  <c r="F75" i="5" s="1"/>
  <c r="E76" i="4"/>
  <c r="E75" i="5" s="1"/>
  <c r="D76" i="4"/>
  <c r="D75" i="5" s="1"/>
  <c r="C76" i="4"/>
  <c r="C75" i="5" s="1"/>
  <c r="B76" i="4"/>
  <c r="B75" i="5" s="1"/>
  <c r="A76" i="4"/>
  <c r="A75" i="5" s="1"/>
  <c r="I75" i="4"/>
  <c r="I74" i="5" s="1"/>
  <c r="H75" i="4"/>
  <c r="H74" i="5" s="1"/>
  <c r="G75" i="4"/>
  <c r="G74" i="5" s="1"/>
  <c r="F75" i="4"/>
  <c r="F74" i="5" s="1"/>
  <c r="E75" i="4"/>
  <c r="E74" i="5" s="1"/>
  <c r="D75" i="4"/>
  <c r="D74" i="5" s="1"/>
  <c r="C75" i="4"/>
  <c r="C74" i="5" s="1"/>
  <c r="B75" i="4"/>
  <c r="B74" i="5" s="1"/>
  <c r="A75" i="4"/>
  <c r="A74" i="5" s="1"/>
  <c r="I74" i="4"/>
  <c r="I73" i="5" s="1"/>
  <c r="H74" i="4"/>
  <c r="H73" i="5" s="1"/>
  <c r="G74" i="4"/>
  <c r="G73" i="5" s="1"/>
  <c r="F74" i="4"/>
  <c r="F73" i="5" s="1"/>
  <c r="E74" i="4"/>
  <c r="E73" i="5" s="1"/>
  <c r="D74" i="4"/>
  <c r="D73" i="5" s="1"/>
  <c r="C74" i="4"/>
  <c r="C73" i="5" s="1"/>
  <c r="B74" i="4"/>
  <c r="B73" i="5" s="1"/>
  <c r="A74" i="4"/>
  <c r="A73" i="5" s="1"/>
  <c r="I73" i="4"/>
  <c r="I72" i="5" s="1"/>
  <c r="H73" i="4"/>
  <c r="H72" i="5" s="1"/>
  <c r="G73" i="4"/>
  <c r="G72" i="5" s="1"/>
  <c r="F73" i="4"/>
  <c r="F72" i="5" s="1"/>
  <c r="E73" i="4"/>
  <c r="E72" i="5" s="1"/>
  <c r="D73" i="4"/>
  <c r="D72" i="5" s="1"/>
  <c r="C73" i="4"/>
  <c r="C72" i="5" s="1"/>
  <c r="B73" i="4"/>
  <c r="B72" i="5" s="1"/>
  <c r="A73" i="4"/>
  <c r="A72" i="5" s="1"/>
  <c r="I72" i="4"/>
  <c r="I71" i="5" s="1"/>
  <c r="H72" i="4"/>
  <c r="H71" i="5" s="1"/>
  <c r="G72" i="4"/>
  <c r="G71" i="5" s="1"/>
  <c r="F72" i="4"/>
  <c r="F71" i="5" s="1"/>
  <c r="E72" i="4"/>
  <c r="E71" i="5" s="1"/>
  <c r="D72" i="4"/>
  <c r="D71" i="5" s="1"/>
  <c r="C72" i="4"/>
  <c r="C71" i="5" s="1"/>
  <c r="B72" i="4"/>
  <c r="B71" i="5" s="1"/>
  <c r="A72" i="4"/>
  <c r="A71" i="5" s="1"/>
  <c r="I71" i="4"/>
  <c r="I70" i="5" s="1"/>
  <c r="H71" i="4"/>
  <c r="H70" i="5" s="1"/>
  <c r="G71" i="4"/>
  <c r="G70" i="5" s="1"/>
  <c r="F71" i="4"/>
  <c r="F70" i="5" s="1"/>
  <c r="E71" i="4"/>
  <c r="E70" i="5" s="1"/>
  <c r="D71" i="4"/>
  <c r="D70" i="5" s="1"/>
  <c r="C71" i="4"/>
  <c r="C70" i="5" s="1"/>
  <c r="B71" i="4"/>
  <c r="B70" i="5" s="1"/>
  <c r="A71" i="4"/>
  <c r="A70" i="5" s="1"/>
  <c r="I70" i="4"/>
  <c r="I69" i="5" s="1"/>
  <c r="H70" i="4"/>
  <c r="H69" i="5" s="1"/>
  <c r="G70" i="4"/>
  <c r="G69" i="5" s="1"/>
  <c r="F70" i="4"/>
  <c r="F69" i="5" s="1"/>
  <c r="E70" i="4"/>
  <c r="E69" i="5" s="1"/>
  <c r="D70" i="4"/>
  <c r="D69" i="5" s="1"/>
  <c r="C70" i="4"/>
  <c r="C69" i="5" s="1"/>
  <c r="B70" i="4"/>
  <c r="B69" i="5" s="1"/>
  <c r="A70" i="4"/>
  <c r="A69" i="5" s="1"/>
  <c r="I69" i="4"/>
  <c r="I68" i="5" s="1"/>
  <c r="H69" i="4"/>
  <c r="H68" i="5" s="1"/>
  <c r="G69" i="4"/>
  <c r="G68" i="5" s="1"/>
  <c r="F69" i="4"/>
  <c r="F68" i="5" s="1"/>
  <c r="E69" i="4"/>
  <c r="E68" i="5" s="1"/>
  <c r="D69" i="4"/>
  <c r="D68" i="5" s="1"/>
  <c r="C69" i="4"/>
  <c r="C68" i="5" s="1"/>
  <c r="B69" i="4"/>
  <c r="B68" i="5" s="1"/>
  <c r="A69" i="4"/>
  <c r="A68" i="5" s="1"/>
  <c r="I68" i="4"/>
  <c r="I67" i="5" s="1"/>
  <c r="H68" i="4"/>
  <c r="H67" i="5" s="1"/>
  <c r="G68" i="4"/>
  <c r="G67" i="5" s="1"/>
  <c r="F68" i="4"/>
  <c r="F67" i="5" s="1"/>
  <c r="E68" i="4"/>
  <c r="E67" i="5" s="1"/>
  <c r="D68" i="4"/>
  <c r="D67" i="5" s="1"/>
  <c r="C68" i="4"/>
  <c r="C67" i="5" s="1"/>
  <c r="B68" i="4"/>
  <c r="B67" i="5" s="1"/>
  <c r="A68" i="4"/>
  <c r="A67" i="5" s="1"/>
  <c r="I67" i="4"/>
  <c r="I66" i="5" s="1"/>
  <c r="H67" i="4"/>
  <c r="H66" i="5" s="1"/>
  <c r="G67" i="4"/>
  <c r="G66" i="5" s="1"/>
  <c r="F67" i="4"/>
  <c r="F66" i="5" s="1"/>
  <c r="E67" i="4"/>
  <c r="E66" i="5" s="1"/>
  <c r="D67" i="4"/>
  <c r="D66" i="5" s="1"/>
  <c r="C67" i="4"/>
  <c r="C66" i="5" s="1"/>
  <c r="B67" i="4"/>
  <c r="B66" i="5" s="1"/>
  <c r="A67" i="4"/>
  <c r="A66" i="5" s="1"/>
  <c r="I66" i="4"/>
  <c r="I65" i="5" s="1"/>
  <c r="H66" i="4"/>
  <c r="H65" i="5" s="1"/>
  <c r="G66" i="4"/>
  <c r="G65" i="5" s="1"/>
  <c r="F66" i="4"/>
  <c r="F65" i="5" s="1"/>
  <c r="E66" i="4"/>
  <c r="E65" i="5" s="1"/>
  <c r="D66" i="4"/>
  <c r="D65" i="5" s="1"/>
  <c r="C66" i="4"/>
  <c r="C65" i="5" s="1"/>
  <c r="B66" i="4"/>
  <c r="B65" i="5" s="1"/>
  <c r="A66" i="4"/>
  <c r="A65" i="5" s="1"/>
  <c r="I65" i="4"/>
  <c r="I64" i="5" s="1"/>
  <c r="H65" i="4"/>
  <c r="H64" i="5" s="1"/>
  <c r="G65" i="4"/>
  <c r="G64" i="5" s="1"/>
  <c r="F65" i="4"/>
  <c r="F64" i="5" s="1"/>
  <c r="E65" i="4"/>
  <c r="E64" i="5" s="1"/>
  <c r="D65" i="4"/>
  <c r="D64" i="5" s="1"/>
  <c r="C65" i="4"/>
  <c r="C64" i="5" s="1"/>
  <c r="B65" i="4"/>
  <c r="B64" i="5" s="1"/>
  <c r="A65" i="4"/>
  <c r="A64" i="5" s="1"/>
  <c r="I64" i="4"/>
  <c r="I63" i="5" s="1"/>
  <c r="H64" i="4"/>
  <c r="H63" i="5" s="1"/>
  <c r="G64" i="4"/>
  <c r="G63" i="5" s="1"/>
  <c r="F64" i="4"/>
  <c r="F63" i="5" s="1"/>
  <c r="E64" i="4"/>
  <c r="E63" i="5" s="1"/>
  <c r="D64" i="4"/>
  <c r="D63" i="5" s="1"/>
  <c r="C64" i="4"/>
  <c r="C63" i="5" s="1"/>
  <c r="B64" i="4"/>
  <c r="B63" i="5" s="1"/>
  <c r="A64" i="4"/>
  <c r="A63" i="5" s="1"/>
  <c r="I63" i="4"/>
  <c r="I62" i="5" s="1"/>
  <c r="H63" i="4"/>
  <c r="H62" i="5" s="1"/>
  <c r="G63" i="4"/>
  <c r="G62" i="5" s="1"/>
  <c r="F63" i="4"/>
  <c r="F62" i="5" s="1"/>
  <c r="E63" i="4"/>
  <c r="E62" i="5" s="1"/>
  <c r="D63" i="4"/>
  <c r="D62" i="5" s="1"/>
  <c r="C63" i="4"/>
  <c r="C62" i="5" s="1"/>
  <c r="B63" i="4"/>
  <c r="B62" i="5" s="1"/>
  <c r="A63" i="4"/>
  <c r="A62" i="5" s="1"/>
  <c r="I62" i="4"/>
  <c r="I61" i="5" s="1"/>
  <c r="H62" i="4"/>
  <c r="H61" i="5" s="1"/>
  <c r="G62" i="4"/>
  <c r="G61" i="5" s="1"/>
  <c r="F62" i="4"/>
  <c r="F61" i="5" s="1"/>
  <c r="E62" i="4"/>
  <c r="E61" i="5" s="1"/>
  <c r="D62" i="4"/>
  <c r="D61" i="5" s="1"/>
  <c r="C62" i="4"/>
  <c r="C61" i="5" s="1"/>
  <c r="B62" i="4"/>
  <c r="B61" i="5" s="1"/>
  <c r="A62" i="4"/>
  <c r="A61" i="5" s="1"/>
  <c r="I61" i="4"/>
  <c r="I60" i="5" s="1"/>
  <c r="H61" i="4"/>
  <c r="H60" i="5" s="1"/>
  <c r="G61" i="4"/>
  <c r="G60" i="5" s="1"/>
  <c r="F61" i="4"/>
  <c r="F60" i="5" s="1"/>
  <c r="E61" i="4"/>
  <c r="E60" i="5" s="1"/>
  <c r="D61" i="4"/>
  <c r="D60" i="5" s="1"/>
  <c r="C61" i="4"/>
  <c r="C60" i="5" s="1"/>
  <c r="B61" i="4"/>
  <c r="B60" i="5" s="1"/>
  <c r="A61" i="4"/>
  <c r="A60" i="5" s="1"/>
  <c r="I60" i="4"/>
  <c r="I59" i="5" s="1"/>
  <c r="H60" i="4"/>
  <c r="H59" i="5" s="1"/>
  <c r="G60" i="4"/>
  <c r="G59" i="5" s="1"/>
  <c r="F60" i="4"/>
  <c r="F59" i="5" s="1"/>
  <c r="E60" i="4"/>
  <c r="E59" i="5" s="1"/>
  <c r="D60" i="4"/>
  <c r="D59" i="5" s="1"/>
  <c r="C60" i="4"/>
  <c r="C59" i="5" s="1"/>
  <c r="B60" i="4"/>
  <c r="B59" i="5" s="1"/>
  <c r="A60" i="4"/>
  <c r="A59" i="5" s="1"/>
  <c r="I59" i="4"/>
  <c r="I58" i="5" s="1"/>
  <c r="H59" i="4"/>
  <c r="H58" i="5" s="1"/>
  <c r="G59" i="4"/>
  <c r="G58" i="5" s="1"/>
  <c r="F59" i="4"/>
  <c r="F58" i="5" s="1"/>
  <c r="E59" i="4"/>
  <c r="E58" i="5" s="1"/>
  <c r="D59" i="4"/>
  <c r="D58" i="5" s="1"/>
  <c r="C59" i="4"/>
  <c r="C58" i="5" s="1"/>
  <c r="B59" i="4"/>
  <c r="B58" i="5" s="1"/>
  <c r="A59" i="4"/>
  <c r="A58" i="5" s="1"/>
  <c r="I58" i="4"/>
  <c r="I57" i="5" s="1"/>
  <c r="H58" i="4"/>
  <c r="H57" i="5" s="1"/>
  <c r="G58" i="4"/>
  <c r="G57" i="5" s="1"/>
  <c r="F58" i="4"/>
  <c r="F57" i="5" s="1"/>
  <c r="E58" i="4"/>
  <c r="E57" i="5" s="1"/>
  <c r="D58" i="4"/>
  <c r="D57" i="5" s="1"/>
  <c r="C58" i="4"/>
  <c r="C57" i="5" s="1"/>
  <c r="B58" i="4"/>
  <c r="B57" i="5" s="1"/>
  <c r="A58" i="4"/>
  <c r="A57" i="5" s="1"/>
  <c r="I57" i="4"/>
  <c r="I56" i="5" s="1"/>
  <c r="H57" i="4"/>
  <c r="H56" i="5" s="1"/>
  <c r="G57" i="4"/>
  <c r="G56" i="5" s="1"/>
  <c r="F57" i="4"/>
  <c r="F56" i="5" s="1"/>
  <c r="E57" i="4"/>
  <c r="E56" i="5" s="1"/>
  <c r="D57" i="4"/>
  <c r="D56" i="5" s="1"/>
  <c r="C57" i="4"/>
  <c r="C56" i="5" s="1"/>
  <c r="B57" i="4"/>
  <c r="B56" i="5" s="1"/>
  <c r="A57" i="4"/>
  <c r="A56" i="5" s="1"/>
  <c r="I56" i="4"/>
  <c r="I55" i="5" s="1"/>
  <c r="H56" i="4"/>
  <c r="H55" i="5" s="1"/>
  <c r="G56" i="4"/>
  <c r="G55" i="5" s="1"/>
  <c r="F56" i="4"/>
  <c r="F55" i="5" s="1"/>
  <c r="E56" i="4"/>
  <c r="E55" i="5" s="1"/>
  <c r="D56" i="4"/>
  <c r="D55" i="5" s="1"/>
  <c r="C56" i="4"/>
  <c r="C55" i="5" s="1"/>
  <c r="B56" i="4"/>
  <c r="B55" i="5" s="1"/>
  <c r="A56" i="4"/>
  <c r="A55" i="5" s="1"/>
  <c r="I55" i="4"/>
  <c r="I54" i="5" s="1"/>
  <c r="H55" i="4"/>
  <c r="H54" i="5" s="1"/>
  <c r="G55" i="4"/>
  <c r="G54" i="5" s="1"/>
  <c r="F55" i="4"/>
  <c r="F54" i="5" s="1"/>
  <c r="E55" i="4"/>
  <c r="E54" i="5" s="1"/>
  <c r="D55" i="4"/>
  <c r="D54" i="5" s="1"/>
  <c r="C55" i="4"/>
  <c r="C54" i="5" s="1"/>
  <c r="B55" i="4"/>
  <c r="B54" i="5" s="1"/>
  <c r="A55" i="4"/>
  <c r="A54" i="5" s="1"/>
  <c r="I54" i="4"/>
  <c r="I53" i="5" s="1"/>
  <c r="H54" i="4"/>
  <c r="H53" i="5" s="1"/>
  <c r="G54" i="4"/>
  <c r="G53" i="5" s="1"/>
  <c r="F54" i="4"/>
  <c r="F53" i="5" s="1"/>
  <c r="E54" i="4"/>
  <c r="E53" i="5" s="1"/>
  <c r="D54" i="4"/>
  <c r="D53" i="5" s="1"/>
  <c r="C54" i="4"/>
  <c r="C53" i="5" s="1"/>
  <c r="B54" i="4"/>
  <c r="B53" i="5" s="1"/>
  <c r="A54" i="4"/>
  <c r="A53" i="5" s="1"/>
  <c r="I53" i="4"/>
  <c r="I52" i="5" s="1"/>
  <c r="H53" i="4"/>
  <c r="H52" i="5" s="1"/>
  <c r="G53" i="4"/>
  <c r="G52" i="5" s="1"/>
  <c r="F53" i="4"/>
  <c r="F52" i="5" s="1"/>
  <c r="E53" i="4"/>
  <c r="E52" i="5" s="1"/>
  <c r="D53" i="4"/>
  <c r="D52" i="5" s="1"/>
  <c r="C53" i="4"/>
  <c r="C52" i="5" s="1"/>
  <c r="B53" i="4"/>
  <c r="B52" i="5" s="1"/>
  <c r="A53" i="4"/>
  <c r="A52" i="5" s="1"/>
  <c r="I52" i="4"/>
  <c r="I51" i="5" s="1"/>
  <c r="H52" i="4"/>
  <c r="H51" i="5" s="1"/>
  <c r="G52" i="4"/>
  <c r="G51" i="5" s="1"/>
  <c r="F52" i="4"/>
  <c r="F51" i="5" s="1"/>
  <c r="E52" i="4"/>
  <c r="E51" i="5" s="1"/>
  <c r="D52" i="4"/>
  <c r="D51" i="5" s="1"/>
  <c r="C52" i="4"/>
  <c r="C51" i="5" s="1"/>
  <c r="B52" i="4"/>
  <c r="B51" i="5" s="1"/>
  <c r="A52" i="4"/>
  <c r="A51" i="5" s="1"/>
  <c r="I51" i="4"/>
  <c r="I50" i="5" s="1"/>
  <c r="H51" i="4"/>
  <c r="H50" i="5" s="1"/>
  <c r="G51" i="4"/>
  <c r="G50" i="5" s="1"/>
  <c r="F51" i="4"/>
  <c r="F50" i="5" s="1"/>
  <c r="E51" i="4"/>
  <c r="E50" i="5" s="1"/>
  <c r="D51" i="4"/>
  <c r="D50" i="5" s="1"/>
  <c r="C51" i="4"/>
  <c r="C50" i="5" s="1"/>
  <c r="B51" i="4"/>
  <c r="B50" i="5" s="1"/>
  <c r="A51" i="4"/>
  <c r="A50" i="5" s="1"/>
  <c r="I50" i="4"/>
  <c r="I49" i="5" s="1"/>
  <c r="H50" i="4"/>
  <c r="H49" i="5" s="1"/>
  <c r="G50" i="4"/>
  <c r="G49" i="5" s="1"/>
  <c r="F50" i="4"/>
  <c r="F49" i="5" s="1"/>
  <c r="E50" i="4"/>
  <c r="E49" i="5" s="1"/>
  <c r="D50" i="4"/>
  <c r="D49" i="5" s="1"/>
  <c r="C50" i="4"/>
  <c r="C49" i="5" s="1"/>
  <c r="B50" i="4"/>
  <c r="B49" i="5" s="1"/>
  <c r="A50" i="4"/>
  <c r="A49" i="5" s="1"/>
  <c r="I49" i="4"/>
  <c r="I48" i="5" s="1"/>
  <c r="H49" i="4"/>
  <c r="H48" i="5" s="1"/>
  <c r="G49" i="4"/>
  <c r="G48" i="5" s="1"/>
  <c r="F49" i="4"/>
  <c r="F48" i="5" s="1"/>
  <c r="E49" i="4"/>
  <c r="E48" i="5" s="1"/>
  <c r="D49" i="4"/>
  <c r="D48" i="5" s="1"/>
  <c r="C49" i="4"/>
  <c r="C48" i="5" s="1"/>
  <c r="B49" i="4"/>
  <c r="B48" i="5" s="1"/>
  <c r="A49" i="4"/>
  <c r="A48" i="5" s="1"/>
  <c r="I48" i="4"/>
  <c r="I47" i="5" s="1"/>
  <c r="H48" i="4"/>
  <c r="H47" i="5" s="1"/>
  <c r="G48" i="4"/>
  <c r="G47" i="5" s="1"/>
  <c r="F48" i="4"/>
  <c r="F47" i="5" s="1"/>
  <c r="E48" i="4"/>
  <c r="E47" i="5" s="1"/>
  <c r="D48" i="4"/>
  <c r="D47" i="5" s="1"/>
  <c r="C48" i="4"/>
  <c r="C47" i="5" s="1"/>
  <c r="B48" i="4"/>
  <c r="B47" i="5" s="1"/>
  <c r="A48" i="4"/>
  <c r="A47" i="5" s="1"/>
  <c r="I47" i="4"/>
  <c r="I46" i="5" s="1"/>
  <c r="H47" i="4"/>
  <c r="H46" i="5" s="1"/>
  <c r="G47" i="4"/>
  <c r="G46" i="5" s="1"/>
  <c r="F47" i="4"/>
  <c r="F46" i="5" s="1"/>
  <c r="E47" i="4"/>
  <c r="E46" i="5" s="1"/>
  <c r="D47" i="4"/>
  <c r="D46" i="5" s="1"/>
  <c r="C47" i="4"/>
  <c r="C46" i="5" s="1"/>
  <c r="B47" i="4"/>
  <c r="B46" i="5" s="1"/>
  <c r="A47" i="4"/>
  <c r="A46" i="5" s="1"/>
  <c r="I46" i="4"/>
  <c r="I45" i="5" s="1"/>
  <c r="H46" i="4"/>
  <c r="H45" i="5" s="1"/>
  <c r="G46" i="4"/>
  <c r="G45" i="5" s="1"/>
  <c r="F46" i="4"/>
  <c r="F45" i="5" s="1"/>
  <c r="E46" i="4"/>
  <c r="E45" i="5" s="1"/>
  <c r="D46" i="4"/>
  <c r="D45" i="5" s="1"/>
  <c r="C46" i="4"/>
  <c r="C45" i="5" s="1"/>
  <c r="B46" i="4"/>
  <c r="B45" i="5" s="1"/>
  <c r="A46" i="4"/>
  <c r="A45" i="5" s="1"/>
  <c r="I45" i="4"/>
  <c r="I44" i="5" s="1"/>
  <c r="H45" i="4"/>
  <c r="H44" i="5" s="1"/>
  <c r="G45" i="4"/>
  <c r="G44" i="5" s="1"/>
  <c r="F45" i="4"/>
  <c r="F44" i="5" s="1"/>
  <c r="E45" i="4"/>
  <c r="E44" i="5" s="1"/>
  <c r="D45" i="4"/>
  <c r="D44" i="5" s="1"/>
  <c r="C45" i="4"/>
  <c r="C44" i="5" s="1"/>
  <c r="B45" i="4"/>
  <c r="B44" i="5" s="1"/>
  <c r="A45" i="4"/>
  <c r="A44" i="5" s="1"/>
  <c r="I44" i="4"/>
  <c r="I43" i="5" s="1"/>
  <c r="H44" i="4"/>
  <c r="H43" i="5" s="1"/>
  <c r="G44" i="4"/>
  <c r="G43" i="5" s="1"/>
  <c r="F44" i="4"/>
  <c r="F43" i="5" s="1"/>
  <c r="E44" i="4"/>
  <c r="E43" i="5" s="1"/>
  <c r="D44" i="4"/>
  <c r="D43" i="5" s="1"/>
  <c r="C44" i="4"/>
  <c r="C43" i="5" s="1"/>
  <c r="B44" i="4"/>
  <c r="B43" i="5" s="1"/>
  <c r="A44" i="4"/>
  <c r="A43" i="5" s="1"/>
  <c r="I43" i="4"/>
  <c r="I42" i="5" s="1"/>
  <c r="H43" i="4"/>
  <c r="H42" i="5" s="1"/>
  <c r="G43" i="4"/>
  <c r="G42" i="5" s="1"/>
  <c r="F43" i="4"/>
  <c r="F42" i="5" s="1"/>
  <c r="E43" i="4"/>
  <c r="E42" i="5" s="1"/>
  <c r="D43" i="4"/>
  <c r="D42" i="5" s="1"/>
  <c r="C43" i="4"/>
  <c r="C42" i="5" s="1"/>
  <c r="B43" i="4"/>
  <c r="B42" i="5" s="1"/>
  <c r="A43" i="4"/>
  <c r="A42" i="5" s="1"/>
  <c r="I42" i="4"/>
  <c r="I41" i="5" s="1"/>
  <c r="H42" i="4"/>
  <c r="H41" i="5" s="1"/>
  <c r="G42" i="4"/>
  <c r="G41" i="5" s="1"/>
  <c r="F42" i="4"/>
  <c r="F41" i="5" s="1"/>
  <c r="E42" i="4"/>
  <c r="E41" i="5" s="1"/>
  <c r="D42" i="4"/>
  <c r="D41" i="5" s="1"/>
  <c r="C42" i="4"/>
  <c r="C41" i="5" s="1"/>
  <c r="B42" i="4"/>
  <c r="B41" i="5" s="1"/>
  <c r="A42" i="4"/>
  <c r="A41" i="5" s="1"/>
  <c r="I41" i="4"/>
  <c r="I40" i="5" s="1"/>
  <c r="H41" i="4"/>
  <c r="H40" i="5" s="1"/>
  <c r="G41" i="4"/>
  <c r="G40" i="5" s="1"/>
  <c r="F41" i="4"/>
  <c r="F40" i="5" s="1"/>
  <c r="E41" i="4"/>
  <c r="E40" i="5" s="1"/>
  <c r="D41" i="4"/>
  <c r="D40" i="5" s="1"/>
  <c r="C41" i="4"/>
  <c r="C40" i="5" s="1"/>
  <c r="B41" i="4"/>
  <c r="B40" i="5" s="1"/>
  <c r="A41" i="4"/>
  <c r="A40" i="5" s="1"/>
  <c r="I40" i="4"/>
  <c r="I39" i="5" s="1"/>
  <c r="H40" i="4"/>
  <c r="H39" i="5" s="1"/>
  <c r="G40" i="4"/>
  <c r="G39" i="5" s="1"/>
  <c r="F40" i="4"/>
  <c r="F39" i="5" s="1"/>
  <c r="E40" i="4"/>
  <c r="E39" i="5" s="1"/>
  <c r="D40" i="4"/>
  <c r="D39" i="5" s="1"/>
  <c r="C40" i="4"/>
  <c r="C39" i="5" s="1"/>
  <c r="B40" i="4"/>
  <c r="B39" i="5" s="1"/>
  <c r="A40" i="4"/>
  <c r="A39" i="5" s="1"/>
  <c r="I39" i="4"/>
  <c r="I38" i="5" s="1"/>
  <c r="H39" i="4"/>
  <c r="H38" i="5" s="1"/>
  <c r="G39" i="4"/>
  <c r="G38" i="5" s="1"/>
  <c r="F39" i="4"/>
  <c r="F38" i="5" s="1"/>
  <c r="E39" i="4"/>
  <c r="E38" i="5" s="1"/>
  <c r="D39" i="4"/>
  <c r="D38" i="5" s="1"/>
  <c r="C39" i="4"/>
  <c r="C38" i="5" s="1"/>
  <c r="B39" i="4"/>
  <c r="B38" i="5" s="1"/>
  <c r="A39" i="4"/>
  <c r="A38" i="5" s="1"/>
  <c r="I38" i="4"/>
  <c r="I37" i="5" s="1"/>
  <c r="H38" i="4"/>
  <c r="H37" i="5" s="1"/>
  <c r="G38" i="4"/>
  <c r="G37" i="5" s="1"/>
  <c r="F38" i="4"/>
  <c r="F37" i="5" s="1"/>
  <c r="E38" i="4"/>
  <c r="E37" i="5" s="1"/>
  <c r="D38" i="4"/>
  <c r="D37" i="5" s="1"/>
  <c r="C38" i="4"/>
  <c r="C37" i="5" s="1"/>
  <c r="B38" i="4"/>
  <c r="B37" i="5" s="1"/>
  <c r="A38" i="4"/>
  <c r="A37" i="5" s="1"/>
  <c r="I37" i="4"/>
  <c r="I36" i="5" s="1"/>
  <c r="H37" i="4"/>
  <c r="H36" i="5" s="1"/>
  <c r="G37" i="4"/>
  <c r="G36" i="5" s="1"/>
  <c r="F37" i="4"/>
  <c r="F36" i="5" s="1"/>
  <c r="E37" i="4"/>
  <c r="E36" i="5" s="1"/>
  <c r="D37" i="4"/>
  <c r="D36" i="5" s="1"/>
  <c r="C37" i="4"/>
  <c r="C36" i="5" s="1"/>
  <c r="B37" i="4"/>
  <c r="B36" i="5" s="1"/>
  <c r="A37" i="4"/>
  <c r="A36" i="5" s="1"/>
  <c r="I36" i="4"/>
  <c r="I35" i="5" s="1"/>
  <c r="H36" i="4"/>
  <c r="H35" i="5" s="1"/>
  <c r="G36" i="4"/>
  <c r="G35" i="5" s="1"/>
  <c r="F36" i="4"/>
  <c r="F35" i="5" s="1"/>
  <c r="E36" i="4"/>
  <c r="E35" i="5" s="1"/>
  <c r="D36" i="4"/>
  <c r="D35" i="5" s="1"/>
  <c r="C36" i="4"/>
  <c r="C35" i="5" s="1"/>
  <c r="B36" i="4"/>
  <c r="B35" i="5" s="1"/>
  <c r="A36" i="4"/>
  <c r="A35" i="5" s="1"/>
  <c r="I35" i="4"/>
  <c r="I34" i="5" s="1"/>
  <c r="H35" i="4"/>
  <c r="H34" i="5" s="1"/>
  <c r="G35" i="4"/>
  <c r="G34" i="5" s="1"/>
  <c r="F35" i="4"/>
  <c r="F34" i="5" s="1"/>
  <c r="E35" i="4"/>
  <c r="E34" i="5" s="1"/>
  <c r="D35" i="4"/>
  <c r="D34" i="5" s="1"/>
  <c r="C35" i="4"/>
  <c r="C34" i="5" s="1"/>
  <c r="B35" i="4"/>
  <c r="B34" i="5" s="1"/>
  <c r="A35" i="4"/>
  <c r="A34" i="5" s="1"/>
  <c r="I34" i="4"/>
  <c r="I33" i="5" s="1"/>
  <c r="H34" i="4"/>
  <c r="H33" i="5" s="1"/>
  <c r="G34" i="4"/>
  <c r="G33" i="5" s="1"/>
  <c r="F34" i="4"/>
  <c r="F33" i="5" s="1"/>
  <c r="E34" i="4"/>
  <c r="E33" i="5" s="1"/>
  <c r="D34" i="4"/>
  <c r="D33" i="5" s="1"/>
  <c r="C34" i="4"/>
  <c r="C33" i="5" s="1"/>
  <c r="B34" i="4"/>
  <c r="B33" i="5" s="1"/>
  <c r="A34" i="4"/>
  <c r="A33" i="5" s="1"/>
  <c r="I33" i="4"/>
  <c r="I32" i="5" s="1"/>
  <c r="H33" i="4"/>
  <c r="H32" i="5" s="1"/>
  <c r="G33" i="4"/>
  <c r="G32" i="5" s="1"/>
  <c r="F33" i="4"/>
  <c r="F32" i="5" s="1"/>
  <c r="E33" i="4"/>
  <c r="E32" i="5" s="1"/>
  <c r="D33" i="4"/>
  <c r="D32" i="5" s="1"/>
  <c r="C33" i="4"/>
  <c r="C32" i="5" s="1"/>
  <c r="B33" i="4"/>
  <c r="B32" i="5" s="1"/>
  <c r="A33" i="4"/>
  <c r="A32" i="5" s="1"/>
  <c r="I32" i="4"/>
  <c r="I31" i="5" s="1"/>
  <c r="H32" i="4"/>
  <c r="H31" i="5" s="1"/>
  <c r="G32" i="4"/>
  <c r="G31" i="5" s="1"/>
  <c r="F32" i="4"/>
  <c r="F31" i="5" s="1"/>
  <c r="E32" i="4"/>
  <c r="E31" i="5" s="1"/>
  <c r="D32" i="4"/>
  <c r="D31" i="5" s="1"/>
  <c r="C32" i="4"/>
  <c r="C31" i="5" s="1"/>
  <c r="B32" i="4"/>
  <c r="B31" i="5" s="1"/>
  <c r="A32" i="4"/>
  <c r="A31" i="5" s="1"/>
  <c r="I31" i="4"/>
  <c r="I30" i="5" s="1"/>
  <c r="H31" i="4"/>
  <c r="H30" i="5" s="1"/>
  <c r="G31" i="4"/>
  <c r="G30" i="5" s="1"/>
  <c r="F31" i="4"/>
  <c r="F30" i="5" s="1"/>
  <c r="E31" i="4"/>
  <c r="E30" i="5" s="1"/>
  <c r="D31" i="4"/>
  <c r="D30" i="5" s="1"/>
  <c r="C31" i="4"/>
  <c r="C30" i="5" s="1"/>
  <c r="B31" i="4"/>
  <c r="B30" i="5" s="1"/>
  <c r="A31" i="4"/>
  <c r="A30" i="5" s="1"/>
  <c r="B30" i="4"/>
  <c r="B29" i="5" s="1"/>
  <c r="B28" i="4"/>
  <c r="B27" i="5" s="1"/>
  <c r="A28" i="4"/>
  <c r="A27" i="5" s="1"/>
  <c r="D26" i="4"/>
  <c r="D25" i="5" s="1"/>
  <c r="C26" i="4"/>
  <c r="C25" i="5" s="1"/>
  <c r="H24" i="4"/>
  <c r="H23" i="5" s="1"/>
  <c r="F24" i="4"/>
  <c r="F23" i="5" s="1"/>
  <c r="E19" i="4"/>
  <c r="E18" i="5" s="1"/>
  <c r="B19" i="4"/>
  <c r="B18" i="5" s="1"/>
  <c r="F15" i="4"/>
  <c r="F14" i="5" s="1"/>
  <c r="C10" i="4"/>
  <c r="C9" i="5" s="1"/>
  <c r="F8" i="4"/>
  <c r="F7" i="5" s="1"/>
  <c r="FW30" i="3"/>
  <c r="FV30" i="3"/>
  <c r="FU30" i="3"/>
  <c r="FT30" i="3"/>
  <c r="FS30" i="3"/>
  <c r="FR30" i="3"/>
  <c r="FQ30" i="3"/>
  <c r="FP30" i="3"/>
  <c r="H30" i="3"/>
  <c r="G30" i="3"/>
  <c r="F30" i="3"/>
  <c r="E30" i="3"/>
  <c r="D30" i="3"/>
  <c r="C30" i="3"/>
  <c r="B30" i="3"/>
  <c r="A30" i="3"/>
  <c r="FW29" i="3"/>
  <c r="FV29" i="3"/>
  <c r="FU29" i="3"/>
  <c r="FT29" i="3"/>
  <c r="FS29" i="3"/>
  <c r="FR29" i="3"/>
  <c r="FQ29" i="3"/>
  <c r="FP29" i="3"/>
  <c r="H29" i="3"/>
  <c r="G29" i="3"/>
  <c r="F29" i="3"/>
  <c r="E29" i="3"/>
  <c r="D29" i="3"/>
  <c r="C29" i="3"/>
  <c r="B29" i="3"/>
  <c r="A29" i="3"/>
  <c r="FW28" i="3"/>
  <c r="FV28" i="3"/>
  <c r="FU28" i="3"/>
  <c r="FT28" i="3"/>
  <c r="FS28" i="3"/>
  <c r="FR28" i="3"/>
  <c r="FQ28" i="3"/>
  <c r="FP28" i="3"/>
  <c r="DL28" i="3"/>
  <c r="DK28" i="3"/>
  <c r="DJ28" i="3"/>
  <c r="DI28" i="3"/>
  <c r="DH28" i="3"/>
  <c r="DG28" i="3"/>
  <c r="DF28" i="3"/>
  <c r="DE28" i="3"/>
  <c r="BS28" i="3"/>
  <c r="BR28" i="3"/>
  <c r="BQ28" i="3"/>
  <c r="BP28" i="3"/>
  <c r="BO28" i="3"/>
  <c r="BN28" i="3"/>
  <c r="BM28" i="3"/>
  <c r="BL28" i="3"/>
  <c r="H28" i="3"/>
  <c r="G28" i="3"/>
  <c r="F28" i="3"/>
  <c r="E28" i="3"/>
  <c r="D28" i="3"/>
  <c r="C28" i="3"/>
  <c r="B28" i="3"/>
  <c r="A28" i="3"/>
  <c r="FX27" i="3"/>
  <c r="FW27" i="3"/>
  <c r="FV27" i="3"/>
  <c r="FU27" i="3"/>
  <c r="FT27" i="3"/>
  <c r="FS27" i="3"/>
  <c r="FR27" i="3"/>
  <c r="FQ27" i="3"/>
  <c r="FP27" i="3"/>
  <c r="DL27" i="3"/>
  <c r="DK27" i="3"/>
  <c r="DJ27" i="3"/>
  <c r="DI27" i="3"/>
  <c r="DH27" i="3"/>
  <c r="DG27" i="3"/>
  <c r="DF27" i="3"/>
  <c r="DE27" i="3"/>
  <c r="BS27" i="3"/>
  <c r="BR27" i="3"/>
  <c r="BQ27" i="3"/>
  <c r="BP27" i="3"/>
  <c r="BO27" i="3"/>
  <c r="BN27" i="3"/>
  <c r="BM27" i="3"/>
  <c r="BL27" i="3"/>
  <c r="H27" i="3"/>
  <c r="G27" i="3"/>
  <c r="F27" i="3"/>
  <c r="E27" i="3"/>
  <c r="D27" i="3"/>
  <c r="C27" i="3"/>
  <c r="B27" i="3"/>
  <c r="A27" i="3"/>
  <c r="FW26" i="3"/>
  <c r="FV26" i="3"/>
  <c r="FU26" i="3"/>
  <c r="FT26" i="3"/>
  <c r="FS26" i="3"/>
  <c r="FR26" i="3"/>
  <c r="FQ26" i="3"/>
  <c r="FP26" i="3"/>
  <c r="DU26" i="3"/>
  <c r="H30" i="4" s="1"/>
  <c r="H29" i="5" s="1"/>
  <c r="DT26" i="3"/>
  <c r="G30" i="4" s="1"/>
  <c r="G29" i="5" s="1"/>
  <c r="DS26" i="3"/>
  <c r="F30" i="4" s="1"/>
  <c r="F29" i="5" s="1"/>
  <c r="DR26" i="3"/>
  <c r="E30" i="4" s="1"/>
  <c r="E29" i="5" s="1"/>
  <c r="DQ26" i="3"/>
  <c r="D30" i="4" s="1"/>
  <c r="D29" i="5" s="1"/>
  <c r="DP26" i="3"/>
  <c r="C30" i="4" s="1"/>
  <c r="C29" i="5" s="1"/>
  <c r="DO26" i="3"/>
  <c r="DN26" i="3"/>
  <c r="A30" i="4" s="1"/>
  <c r="A29" i="5" s="1"/>
  <c r="DL26" i="3"/>
  <c r="DK26" i="3"/>
  <c r="DJ26" i="3"/>
  <c r="DI26" i="3"/>
  <c r="DH26" i="3"/>
  <c r="DG26" i="3"/>
  <c r="DF26" i="3"/>
  <c r="DE26" i="3"/>
  <c r="BS26" i="3"/>
  <c r="BR26" i="3"/>
  <c r="BQ26" i="3"/>
  <c r="BP26" i="3"/>
  <c r="BO26" i="3"/>
  <c r="BN26" i="3"/>
  <c r="BM26" i="3"/>
  <c r="BL26" i="3"/>
  <c r="I26" i="3"/>
  <c r="H26" i="3"/>
  <c r="G26" i="3"/>
  <c r="F26" i="3"/>
  <c r="E26" i="3"/>
  <c r="D26" i="3"/>
  <c r="C26" i="3"/>
  <c r="B26" i="3"/>
  <c r="A26" i="3"/>
  <c r="FW25" i="3"/>
  <c r="FV25" i="3"/>
  <c r="FU25" i="3"/>
  <c r="FT25" i="3"/>
  <c r="FS25" i="3"/>
  <c r="FR25" i="3"/>
  <c r="FQ25" i="3"/>
  <c r="FP25" i="3"/>
  <c r="DU25" i="3"/>
  <c r="H29" i="4" s="1"/>
  <c r="H28" i="5" s="1"/>
  <c r="DT25" i="3"/>
  <c r="G29" i="4" s="1"/>
  <c r="G28" i="5" s="1"/>
  <c r="DS25" i="3"/>
  <c r="F29" i="4" s="1"/>
  <c r="F28" i="5" s="1"/>
  <c r="DR25" i="3"/>
  <c r="E29" i="4" s="1"/>
  <c r="E28" i="5" s="1"/>
  <c r="DQ25" i="3"/>
  <c r="D29" i="4" s="1"/>
  <c r="D28" i="5" s="1"/>
  <c r="DP25" i="3"/>
  <c r="C29" i="4" s="1"/>
  <c r="C28" i="5" s="1"/>
  <c r="DO25" i="3"/>
  <c r="B29" i="4" s="1"/>
  <c r="B28" i="5" s="1"/>
  <c r="DN25" i="3"/>
  <c r="A29" i="4" s="1"/>
  <c r="A28" i="5" s="1"/>
  <c r="DL25" i="3"/>
  <c r="DK25" i="3"/>
  <c r="DJ25" i="3"/>
  <c r="DI25" i="3"/>
  <c r="DH25" i="3"/>
  <c r="DG25" i="3"/>
  <c r="DF25" i="3"/>
  <c r="DE25" i="3"/>
  <c r="BS25" i="3"/>
  <c r="BR25" i="3"/>
  <c r="BQ25" i="3"/>
  <c r="BP25" i="3"/>
  <c r="BO25" i="3"/>
  <c r="BN25" i="3"/>
  <c r="BM25" i="3"/>
  <c r="BL25" i="3"/>
  <c r="I25" i="3"/>
  <c r="H25" i="3"/>
  <c r="G25" i="3"/>
  <c r="F25" i="3"/>
  <c r="E25" i="3"/>
  <c r="D25" i="3"/>
  <c r="C25" i="3"/>
  <c r="B25" i="3"/>
  <c r="A25" i="3"/>
  <c r="FW24" i="3"/>
  <c r="FV24" i="3"/>
  <c r="FU24" i="3"/>
  <c r="FT24" i="3"/>
  <c r="FS24" i="3"/>
  <c r="FR24" i="3"/>
  <c r="FQ24" i="3"/>
  <c r="FP24" i="3"/>
  <c r="DU24" i="3"/>
  <c r="H28" i="4" s="1"/>
  <c r="H27" i="5" s="1"/>
  <c r="DT24" i="3"/>
  <c r="G28" i="4" s="1"/>
  <c r="G27" i="5" s="1"/>
  <c r="DS24" i="3"/>
  <c r="F28" i="4" s="1"/>
  <c r="F27" i="5" s="1"/>
  <c r="DR24" i="3"/>
  <c r="E28" i="4" s="1"/>
  <c r="E27" i="5" s="1"/>
  <c r="DQ24" i="3"/>
  <c r="D28" i="4" s="1"/>
  <c r="D27" i="5" s="1"/>
  <c r="DP24" i="3"/>
  <c r="C28" i="4" s="1"/>
  <c r="C27" i="5" s="1"/>
  <c r="DO24" i="3"/>
  <c r="DN24" i="3"/>
  <c r="DL24" i="3"/>
  <c r="DK24" i="3"/>
  <c r="DJ24" i="3"/>
  <c r="DI24" i="3"/>
  <c r="DH24" i="3"/>
  <c r="DG24" i="3"/>
  <c r="DF24" i="3"/>
  <c r="DE24" i="3"/>
  <c r="CT24" i="3"/>
  <c r="CS24" i="3"/>
  <c r="CR24" i="3"/>
  <c r="CQ24" i="3"/>
  <c r="CP24" i="3"/>
  <c r="CO24" i="3"/>
  <c r="CN24" i="3"/>
  <c r="CM24" i="3"/>
  <c r="CK24" i="3"/>
  <c r="CJ24" i="3"/>
  <c r="CI24" i="3"/>
  <c r="CH24" i="3"/>
  <c r="CG24" i="3"/>
  <c r="CF24" i="3"/>
  <c r="CE24" i="3"/>
  <c r="CD24" i="3"/>
  <c r="CB24" i="3"/>
  <c r="CA24" i="3"/>
  <c r="BZ24" i="3"/>
  <c r="BY24" i="3"/>
  <c r="BX24" i="3"/>
  <c r="BW24" i="3"/>
  <c r="BV24" i="3"/>
  <c r="BU24" i="3"/>
  <c r="BS24" i="3"/>
  <c r="BR24" i="3"/>
  <c r="BQ24" i="3"/>
  <c r="BP24" i="3"/>
  <c r="BO24" i="3"/>
  <c r="BN24" i="3"/>
  <c r="BM24" i="3"/>
  <c r="BL24" i="3"/>
  <c r="BJ24" i="3"/>
  <c r="BI24" i="3"/>
  <c r="BH24" i="3"/>
  <c r="BG24" i="3"/>
  <c r="BF24" i="3"/>
  <c r="BE24" i="3"/>
  <c r="BD24" i="3"/>
  <c r="BC24" i="3"/>
  <c r="I24" i="3"/>
  <c r="H24" i="3"/>
  <c r="G24" i="3"/>
  <c r="F24" i="3"/>
  <c r="E24" i="3"/>
  <c r="D24" i="3"/>
  <c r="C24" i="3"/>
  <c r="B24" i="3"/>
  <c r="A24" i="3"/>
  <c r="FW23" i="3"/>
  <c r="FV23" i="3"/>
  <c r="FU23" i="3"/>
  <c r="FT23" i="3"/>
  <c r="FS23" i="3"/>
  <c r="FR23" i="3"/>
  <c r="FQ23" i="3"/>
  <c r="FP23" i="3"/>
  <c r="DU23" i="3"/>
  <c r="H27" i="4" s="1"/>
  <c r="H26" i="5" s="1"/>
  <c r="DT23" i="3"/>
  <c r="G27" i="4" s="1"/>
  <c r="G26" i="5" s="1"/>
  <c r="DS23" i="3"/>
  <c r="F27" i="4" s="1"/>
  <c r="F26" i="5" s="1"/>
  <c r="DR23" i="3"/>
  <c r="E27" i="4" s="1"/>
  <c r="E26" i="5" s="1"/>
  <c r="DQ23" i="3"/>
  <c r="D27" i="4" s="1"/>
  <c r="D26" i="5" s="1"/>
  <c r="DP23" i="3"/>
  <c r="C27" i="4" s="1"/>
  <c r="C26" i="5" s="1"/>
  <c r="DO23" i="3"/>
  <c r="B27" i="4" s="1"/>
  <c r="B26" i="5" s="1"/>
  <c r="DN23" i="3"/>
  <c r="A27" i="4" s="1"/>
  <c r="A26" i="5" s="1"/>
  <c r="DL23" i="3"/>
  <c r="DK23" i="3"/>
  <c r="DJ23" i="3"/>
  <c r="DI23" i="3"/>
  <c r="DH23" i="3"/>
  <c r="DG23" i="3"/>
  <c r="DF23" i="3"/>
  <c r="DE23" i="3"/>
  <c r="CT23" i="3"/>
  <c r="CS23" i="3"/>
  <c r="CR23" i="3"/>
  <c r="CQ23" i="3"/>
  <c r="CP23" i="3"/>
  <c r="CO23" i="3"/>
  <c r="CN23" i="3"/>
  <c r="CM23" i="3"/>
  <c r="CK23" i="3"/>
  <c r="CJ23" i="3"/>
  <c r="CI23" i="3"/>
  <c r="CH23" i="3"/>
  <c r="CG23" i="3"/>
  <c r="CF23" i="3"/>
  <c r="CE23" i="3"/>
  <c r="CD23" i="3"/>
  <c r="CB23" i="3"/>
  <c r="CA23" i="3"/>
  <c r="BZ23" i="3"/>
  <c r="BY23" i="3"/>
  <c r="BX23" i="3"/>
  <c r="BW23" i="3"/>
  <c r="BV23" i="3"/>
  <c r="BU23" i="3"/>
  <c r="BS23" i="3"/>
  <c r="BR23" i="3"/>
  <c r="BQ23" i="3"/>
  <c r="BP23" i="3"/>
  <c r="BO23" i="3"/>
  <c r="BN23" i="3"/>
  <c r="BM23" i="3"/>
  <c r="BL23" i="3"/>
  <c r="BJ23" i="3"/>
  <c r="BI23" i="3"/>
  <c r="BH23" i="3"/>
  <c r="BG23" i="3"/>
  <c r="BF23" i="3"/>
  <c r="BE23" i="3"/>
  <c r="BD23" i="3"/>
  <c r="BC23" i="3"/>
  <c r="H23" i="3"/>
  <c r="G23" i="3"/>
  <c r="F23" i="3"/>
  <c r="E23" i="3"/>
  <c r="D23" i="3"/>
  <c r="C23" i="3"/>
  <c r="B23" i="3"/>
  <c r="A23" i="3"/>
  <c r="FW22" i="3"/>
  <c r="FV22" i="3"/>
  <c r="FU22" i="3"/>
  <c r="FT22" i="3"/>
  <c r="FS22" i="3"/>
  <c r="FR22" i="3"/>
  <c r="FQ22" i="3"/>
  <c r="FP22" i="3"/>
  <c r="DV22" i="3"/>
  <c r="I26" i="4" s="1"/>
  <c r="I25" i="5" s="1"/>
  <c r="DU22" i="3"/>
  <c r="H26" i="4" s="1"/>
  <c r="H25" i="5" s="1"/>
  <c r="DT22" i="3"/>
  <c r="G26" i="4" s="1"/>
  <c r="G25" i="5" s="1"/>
  <c r="DS22" i="3"/>
  <c r="F26" i="4" s="1"/>
  <c r="F25" i="5" s="1"/>
  <c r="DR22" i="3"/>
  <c r="E26" i="4" s="1"/>
  <c r="E25" i="5" s="1"/>
  <c r="DQ22" i="3"/>
  <c r="DP22" i="3"/>
  <c r="DO22" i="3"/>
  <c r="B26" i="4" s="1"/>
  <c r="B25" i="5" s="1"/>
  <c r="DN22" i="3"/>
  <c r="A26" i="4" s="1"/>
  <c r="A25" i="5" s="1"/>
  <c r="DL22" i="3"/>
  <c r="DK22" i="3"/>
  <c r="DJ22" i="3"/>
  <c r="DI22" i="3"/>
  <c r="DH22" i="3"/>
  <c r="DG22" i="3"/>
  <c r="DF22" i="3"/>
  <c r="DE22" i="3"/>
  <c r="CT22" i="3"/>
  <c r="CS22" i="3"/>
  <c r="CR22" i="3"/>
  <c r="CQ22" i="3"/>
  <c r="CP22" i="3"/>
  <c r="CO22" i="3"/>
  <c r="CN22" i="3"/>
  <c r="CM22" i="3"/>
  <c r="CK22" i="3"/>
  <c r="CJ22" i="3"/>
  <c r="CI22" i="3"/>
  <c r="CH22" i="3"/>
  <c r="CG22" i="3"/>
  <c r="CF22" i="3"/>
  <c r="CE22" i="3"/>
  <c r="CD22" i="3"/>
  <c r="CB22" i="3"/>
  <c r="CA22" i="3"/>
  <c r="BZ22" i="3"/>
  <c r="BY22" i="3"/>
  <c r="BX22" i="3"/>
  <c r="BW22" i="3"/>
  <c r="BV22" i="3"/>
  <c r="BU22" i="3"/>
  <c r="BS22" i="3"/>
  <c r="BR22" i="3"/>
  <c r="BQ22" i="3"/>
  <c r="BP22" i="3"/>
  <c r="BO22" i="3"/>
  <c r="BN22" i="3"/>
  <c r="BM22" i="3"/>
  <c r="BL22" i="3"/>
  <c r="BJ22" i="3"/>
  <c r="BI22" i="3"/>
  <c r="BH22" i="3"/>
  <c r="BG22" i="3"/>
  <c r="BF22" i="3"/>
  <c r="BE22" i="3"/>
  <c r="BD22" i="3"/>
  <c r="BC22" i="3"/>
  <c r="AR22" i="3"/>
  <c r="AQ22" i="3"/>
  <c r="AP22" i="3"/>
  <c r="AO22" i="3"/>
  <c r="AN22" i="3"/>
  <c r="AM22" i="3"/>
  <c r="AL22" i="3"/>
  <c r="AK22" i="3"/>
  <c r="AI22" i="3"/>
  <c r="AH22" i="3"/>
  <c r="AG22" i="3"/>
  <c r="AF22" i="3"/>
  <c r="AE22" i="3"/>
  <c r="AD22" i="3"/>
  <c r="AC22" i="3"/>
  <c r="AB22" i="3"/>
  <c r="Q22" i="3"/>
  <c r="P22" i="3"/>
  <c r="O22" i="3"/>
  <c r="N22" i="3"/>
  <c r="M22" i="3"/>
  <c r="L22" i="3"/>
  <c r="K22" i="3"/>
  <c r="J22" i="3"/>
  <c r="H22" i="3"/>
  <c r="G22" i="3"/>
  <c r="F22" i="3"/>
  <c r="E22" i="3"/>
  <c r="D22" i="3"/>
  <c r="C22" i="3"/>
  <c r="B22" i="3"/>
  <c r="A22" i="3"/>
  <c r="FW21" i="3"/>
  <c r="FV21" i="3"/>
  <c r="FU21" i="3"/>
  <c r="FT21" i="3"/>
  <c r="FS21" i="3"/>
  <c r="FR21" i="3"/>
  <c r="FQ21" i="3"/>
  <c r="FP21" i="3"/>
  <c r="DU21" i="3"/>
  <c r="H25" i="4" s="1"/>
  <c r="H24" i="5" s="1"/>
  <c r="DT21" i="3"/>
  <c r="G25" i="4" s="1"/>
  <c r="G24" i="5" s="1"/>
  <c r="DS21" i="3"/>
  <c r="F25" i="4" s="1"/>
  <c r="F24" i="5" s="1"/>
  <c r="DR21" i="3"/>
  <c r="E25" i="4" s="1"/>
  <c r="E24" i="5" s="1"/>
  <c r="DQ21" i="3"/>
  <c r="D25" i="4" s="1"/>
  <c r="D24" i="5" s="1"/>
  <c r="DP21" i="3"/>
  <c r="C25" i="4" s="1"/>
  <c r="C24" i="5" s="1"/>
  <c r="DO21" i="3"/>
  <c r="B25" i="4" s="1"/>
  <c r="B24" i="5" s="1"/>
  <c r="DN21" i="3"/>
  <c r="A25" i="4" s="1"/>
  <c r="A24" i="5" s="1"/>
  <c r="DL21" i="3"/>
  <c r="DK21" i="3"/>
  <c r="DJ21" i="3"/>
  <c r="DI21" i="3"/>
  <c r="DH21" i="3"/>
  <c r="DG21" i="3"/>
  <c r="DF21" i="3"/>
  <c r="DE21" i="3"/>
  <c r="CT21" i="3"/>
  <c r="CS21" i="3"/>
  <c r="CR21" i="3"/>
  <c r="CQ21" i="3"/>
  <c r="CP21" i="3"/>
  <c r="CO21" i="3"/>
  <c r="CN21" i="3"/>
  <c r="CM21" i="3"/>
  <c r="CL21" i="3"/>
  <c r="CK21" i="3"/>
  <c r="CJ21" i="3"/>
  <c r="CI21" i="3"/>
  <c r="CH21" i="3"/>
  <c r="CG21" i="3"/>
  <c r="CF21" i="3"/>
  <c r="CE21" i="3"/>
  <c r="CD21" i="3"/>
  <c r="CB21" i="3"/>
  <c r="CA21" i="3"/>
  <c r="BZ21" i="3"/>
  <c r="BY21" i="3"/>
  <c r="BX21" i="3"/>
  <c r="BW21" i="3"/>
  <c r="BV21" i="3"/>
  <c r="BU21" i="3"/>
  <c r="BS21" i="3"/>
  <c r="BR21" i="3"/>
  <c r="BQ21" i="3"/>
  <c r="BP21" i="3"/>
  <c r="BO21" i="3"/>
  <c r="BN21" i="3"/>
  <c r="BM21" i="3"/>
  <c r="BL21" i="3"/>
  <c r="BJ21" i="3"/>
  <c r="BI21" i="3"/>
  <c r="BH21" i="3"/>
  <c r="BG21" i="3"/>
  <c r="BF21" i="3"/>
  <c r="BE21" i="3"/>
  <c r="BD21" i="3"/>
  <c r="BC21" i="3"/>
  <c r="AR21" i="3"/>
  <c r="AQ21" i="3"/>
  <c r="AP21" i="3"/>
  <c r="AO21" i="3"/>
  <c r="AN21" i="3"/>
  <c r="AM21" i="3"/>
  <c r="AL21" i="3"/>
  <c r="AK21" i="3"/>
  <c r="AI21" i="3"/>
  <c r="AH21" i="3"/>
  <c r="AG21" i="3"/>
  <c r="AF21" i="3"/>
  <c r="AE21" i="3"/>
  <c r="AD21" i="3"/>
  <c r="AC21" i="3"/>
  <c r="AB21" i="3"/>
  <c r="R21" i="3"/>
  <c r="Q21" i="3"/>
  <c r="P21" i="3"/>
  <c r="O21" i="3"/>
  <c r="N21" i="3"/>
  <c r="M21" i="3"/>
  <c r="L21" i="3"/>
  <c r="K21" i="3"/>
  <c r="J21" i="3"/>
  <c r="H21" i="3"/>
  <c r="G21" i="3"/>
  <c r="F21" i="3"/>
  <c r="E21" i="3"/>
  <c r="D21" i="3"/>
  <c r="C21" i="3"/>
  <c r="B21" i="3"/>
  <c r="A21" i="3"/>
  <c r="FW20" i="3"/>
  <c r="FV20" i="3"/>
  <c r="FU20" i="3"/>
  <c r="FT20" i="3"/>
  <c r="FS20" i="3"/>
  <c r="FR20" i="3"/>
  <c r="FQ20" i="3"/>
  <c r="FP20" i="3"/>
  <c r="DV20" i="3"/>
  <c r="I24" i="4" s="1"/>
  <c r="I23" i="5" s="1"/>
  <c r="DU20" i="3"/>
  <c r="DT20" i="3"/>
  <c r="G24" i="4" s="1"/>
  <c r="G23" i="5" s="1"/>
  <c r="DS20" i="3"/>
  <c r="DR20" i="3"/>
  <c r="E24" i="4" s="1"/>
  <c r="E23" i="5" s="1"/>
  <c r="DQ20" i="3"/>
  <c r="D24" i="4" s="1"/>
  <c r="D23" i="5" s="1"/>
  <c r="DP20" i="3"/>
  <c r="C24" i="4" s="1"/>
  <c r="C23" i="5" s="1"/>
  <c r="DO20" i="3"/>
  <c r="B24" i="4" s="1"/>
  <c r="B23" i="5" s="1"/>
  <c r="DN20" i="3"/>
  <c r="A24" i="4" s="1"/>
  <c r="A23" i="5" s="1"/>
  <c r="DL20" i="3"/>
  <c r="DK20" i="3"/>
  <c r="DJ20" i="3"/>
  <c r="DI20" i="3"/>
  <c r="DH20" i="3"/>
  <c r="DG20" i="3"/>
  <c r="DF20" i="3"/>
  <c r="DE20" i="3"/>
  <c r="DC20" i="3"/>
  <c r="DB20" i="3"/>
  <c r="DA20" i="3"/>
  <c r="CZ20" i="3"/>
  <c r="CY20" i="3"/>
  <c r="CX20" i="3"/>
  <c r="CW20" i="3"/>
  <c r="CV20" i="3"/>
  <c r="CT20" i="3"/>
  <c r="CS20" i="3"/>
  <c r="CR20" i="3"/>
  <c r="CQ20" i="3"/>
  <c r="CP20" i="3"/>
  <c r="CO20" i="3"/>
  <c r="CN20" i="3"/>
  <c r="CM20" i="3"/>
  <c r="CK20" i="3"/>
  <c r="CJ20" i="3"/>
  <c r="CI20" i="3"/>
  <c r="CH20" i="3"/>
  <c r="CG20" i="3"/>
  <c r="CF20" i="3"/>
  <c r="CE20" i="3"/>
  <c r="CD20" i="3"/>
  <c r="CB20" i="3"/>
  <c r="CA20" i="3"/>
  <c r="BZ20" i="3"/>
  <c r="BY20" i="3"/>
  <c r="BX20" i="3"/>
  <c r="BW20" i="3"/>
  <c r="BV20" i="3"/>
  <c r="BU20" i="3"/>
  <c r="BS20" i="3"/>
  <c r="BR20" i="3"/>
  <c r="BQ20" i="3"/>
  <c r="BP20" i="3"/>
  <c r="BO20" i="3"/>
  <c r="BN20" i="3"/>
  <c r="BM20" i="3"/>
  <c r="BL20" i="3"/>
  <c r="BJ20" i="3"/>
  <c r="BI20" i="3"/>
  <c r="BH20" i="3"/>
  <c r="BG20" i="3"/>
  <c r="BF20" i="3"/>
  <c r="BE20" i="3"/>
  <c r="BD20" i="3"/>
  <c r="BC20" i="3"/>
  <c r="AS20" i="3"/>
  <c r="AR20" i="3"/>
  <c r="AQ20" i="3"/>
  <c r="AP20" i="3"/>
  <c r="AO20" i="3"/>
  <c r="AN20" i="3"/>
  <c r="AM20" i="3"/>
  <c r="AL20" i="3"/>
  <c r="AK20" i="3"/>
  <c r="AI20" i="3"/>
  <c r="AH20" i="3"/>
  <c r="AG20" i="3"/>
  <c r="AF20" i="3"/>
  <c r="AE20" i="3"/>
  <c r="AD20" i="3"/>
  <c r="AC20" i="3"/>
  <c r="AB20" i="3"/>
  <c r="Z20" i="3"/>
  <c r="Y20" i="3"/>
  <c r="X20" i="3"/>
  <c r="W20" i="3"/>
  <c r="V20" i="3"/>
  <c r="U20" i="3"/>
  <c r="T20" i="3"/>
  <c r="S20" i="3"/>
  <c r="Q20" i="3"/>
  <c r="P20" i="3"/>
  <c r="O20" i="3"/>
  <c r="N20" i="3"/>
  <c r="M20" i="3"/>
  <c r="L20" i="3"/>
  <c r="K20" i="3"/>
  <c r="J20" i="3"/>
  <c r="H20" i="3"/>
  <c r="G20" i="3"/>
  <c r="F20" i="3"/>
  <c r="E20" i="3"/>
  <c r="D20" i="3"/>
  <c r="C20" i="3"/>
  <c r="B20" i="3"/>
  <c r="A20" i="3"/>
  <c r="FW19" i="3"/>
  <c r="FV19" i="3"/>
  <c r="FU19" i="3"/>
  <c r="FT19" i="3"/>
  <c r="FS19" i="3"/>
  <c r="FR19" i="3"/>
  <c r="FQ19" i="3"/>
  <c r="FP19" i="3"/>
  <c r="EM19" i="3"/>
  <c r="EL19" i="3"/>
  <c r="EK19" i="3"/>
  <c r="EJ19" i="3"/>
  <c r="EI19" i="3"/>
  <c r="EH19" i="3"/>
  <c r="EG19" i="3"/>
  <c r="EF19" i="3"/>
  <c r="DU19" i="3"/>
  <c r="H23" i="4" s="1"/>
  <c r="H22" i="5" s="1"/>
  <c r="DT19" i="3"/>
  <c r="G23" i="4" s="1"/>
  <c r="G22" i="5" s="1"/>
  <c r="DS19" i="3"/>
  <c r="F23" i="4" s="1"/>
  <c r="F22" i="5" s="1"/>
  <c r="DR19" i="3"/>
  <c r="E23" i="4" s="1"/>
  <c r="E22" i="5" s="1"/>
  <c r="DQ19" i="3"/>
  <c r="D23" i="4" s="1"/>
  <c r="D22" i="5" s="1"/>
  <c r="DP19" i="3"/>
  <c r="C23" i="4" s="1"/>
  <c r="C22" i="5" s="1"/>
  <c r="DO19" i="3"/>
  <c r="B23" i="4" s="1"/>
  <c r="B22" i="5" s="1"/>
  <c r="DN19" i="3"/>
  <c r="A23" i="4" s="1"/>
  <c r="A22" i="5" s="1"/>
  <c r="DL19" i="3"/>
  <c r="DK19" i="3"/>
  <c r="DJ19" i="3"/>
  <c r="DI19" i="3"/>
  <c r="DH19" i="3"/>
  <c r="DG19" i="3"/>
  <c r="DF19" i="3"/>
  <c r="DE19" i="3"/>
  <c r="DC19" i="3"/>
  <c r="DB19" i="3"/>
  <c r="DA19" i="3"/>
  <c r="CZ19" i="3"/>
  <c r="CY19" i="3"/>
  <c r="CX19" i="3"/>
  <c r="CW19" i="3"/>
  <c r="CV19" i="3"/>
  <c r="CT19" i="3"/>
  <c r="CS19" i="3"/>
  <c r="CR19" i="3"/>
  <c r="CQ19" i="3"/>
  <c r="CP19" i="3"/>
  <c r="CO19" i="3"/>
  <c r="CN19" i="3"/>
  <c r="CM19" i="3"/>
  <c r="CK19" i="3"/>
  <c r="CJ19" i="3"/>
  <c r="CI19" i="3"/>
  <c r="CH19" i="3"/>
  <c r="CG19" i="3"/>
  <c r="CF19" i="3"/>
  <c r="CE19" i="3"/>
  <c r="CD19" i="3"/>
  <c r="CB19" i="3"/>
  <c r="CA19" i="3"/>
  <c r="BZ19" i="3"/>
  <c r="BY19" i="3"/>
  <c r="BX19" i="3"/>
  <c r="BW19" i="3"/>
  <c r="BV19" i="3"/>
  <c r="BU19" i="3"/>
  <c r="BS19" i="3"/>
  <c r="BR19" i="3"/>
  <c r="BQ19" i="3"/>
  <c r="BP19" i="3"/>
  <c r="BO19" i="3"/>
  <c r="BN19" i="3"/>
  <c r="BM19" i="3"/>
  <c r="BL19" i="3"/>
  <c r="BJ19" i="3"/>
  <c r="BI19" i="3"/>
  <c r="BH19" i="3"/>
  <c r="BG19" i="3"/>
  <c r="BF19" i="3"/>
  <c r="BE19" i="3"/>
  <c r="BD19" i="3"/>
  <c r="BC19" i="3"/>
  <c r="AR19" i="3"/>
  <c r="AQ19" i="3"/>
  <c r="AP19" i="3"/>
  <c r="AO19" i="3"/>
  <c r="AN19" i="3"/>
  <c r="AM19" i="3"/>
  <c r="AL19" i="3"/>
  <c r="AK19" i="3"/>
  <c r="AI19" i="3"/>
  <c r="AH19" i="3"/>
  <c r="AG19" i="3"/>
  <c r="AF19" i="3"/>
  <c r="AE19" i="3"/>
  <c r="AD19" i="3"/>
  <c r="AC19" i="3"/>
  <c r="AB19" i="3"/>
  <c r="Z19" i="3"/>
  <c r="Y19" i="3"/>
  <c r="X19" i="3"/>
  <c r="W19" i="3"/>
  <c r="V19" i="3"/>
  <c r="U19" i="3"/>
  <c r="T19" i="3"/>
  <c r="S19" i="3"/>
  <c r="Q19" i="3"/>
  <c r="P19" i="3"/>
  <c r="O19" i="3"/>
  <c r="N19" i="3"/>
  <c r="M19" i="3"/>
  <c r="L19" i="3"/>
  <c r="K19" i="3"/>
  <c r="J19" i="3"/>
  <c r="H19" i="3"/>
  <c r="G19" i="3"/>
  <c r="F19" i="3"/>
  <c r="E19" i="3"/>
  <c r="D19" i="3"/>
  <c r="C19" i="3"/>
  <c r="B19" i="3"/>
  <c r="A19" i="3"/>
  <c r="FW18" i="3"/>
  <c r="FV18" i="3"/>
  <c r="FU18" i="3"/>
  <c r="FT18" i="3"/>
  <c r="FS18" i="3"/>
  <c r="FR18" i="3"/>
  <c r="FQ18" i="3"/>
  <c r="FP18" i="3"/>
  <c r="EM18" i="3"/>
  <c r="EL18" i="3"/>
  <c r="EK18" i="3"/>
  <c r="EJ18" i="3"/>
  <c r="EI18" i="3"/>
  <c r="EH18" i="3"/>
  <c r="EG18" i="3"/>
  <c r="EF18" i="3"/>
  <c r="DU18" i="3"/>
  <c r="H22" i="4" s="1"/>
  <c r="H21" i="5" s="1"/>
  <c r="DT18" i="3"/>
  <c r="G22" i="4" s="1"/>
  <c r="G21" i="5" s="1"/>
  <c r="DS18" i="3"/>
  <c r="F22" i="4" s="1"/>
  <c r="F21" i="5" s="1"/>
  <c r="DR18" i="3"/>
  <c r="E22" i="4" s="1"/>
  <c r="E21" i="5" s="1"/>
  <c r="DQ18" i="3"/>
  <c r="D22" i="4" s="1"/>
  <c r="D21" i="5" s="1"/>
  <c r="DP18" i="3"/>
  <c r="C22" i="4" s="1"/>
  <c r="C21" i="5" s="1"/>
  <c r="DO18" i="3"/>
  <c r="B22" i="4" s="1"/>
  <c r="B21" i="5" s="1"/>
  <c r="DN18" i="3"/>
  <c r="A22" i="4" s="1"/>
  <c r="A21" i="5" s="1"/>
  <c r="DL18" i="3"/>
  <c r="DK18" i="3"/>
  <c r="DJ18" i="3"/>
  <c r="DI18" i="3"/>
  <c r="DH18" i="3"/>
  <c r="DG18" i="3"/>
  <c r="DF18" i="3"/>
  <c r="DE18" i="3"/>
  <c r="DC18" i="3"/>
  <c r="DB18" i="3"/>
  <c r="DA18" i="3"/>
  <c r="CZ18" i="3"/>
  <c r="CY18" i="3"/>
  <c r="CX18" i="3"/>
  <c r="CW18" i="3"/>
  <c r="CV18" i="3"/>
  <c r="CU18" i="3"/>
  <c r="CT18" i="3"/>
  <c r="CS18" i="3"/>
  <c r="CR18" i="3"/>
  <c r="CQ18" i="3"/>
  <c r="CP18" i="3"/>
  <c r="CO18" i="3"/>
  <c r="CN18" i="3"/>
  <c r="CM18" i="3"/>
  <c r="CK18" i="3"/>
  <c r="CJ18" i="3"/>
  <c r="CI18" i="3"/>
  <c r="CH18" i="3"/>
  <c r="CG18" i="3"/>
  <c r="CF18" i="3"/>
  <c r="CE18" i="3"/>
  <c r="CD18" i="3"/>
  <c r="CC18" i="3"/>
  <c r="CB18" i="3"/>
  <c r="CA18" i="3"/>
  <c r="BZ18" i="3"/>
  <c r="BY18" i="3"/>
  <c r="BX18" i="3"/>
  <c r="BW18" i="3"/>
  <c r="BV18" i="3"/>
  <c r="BU18" i="3"/>
  <c r="BS18" i="3"/>
  <c r="BR18" i="3"/>
  <c r="BQ18" i="3"/>
  <c r="BP18" i="3"/>
  <c r="BO18" i="3"/>
  <c r="BN18" i="3"/>
  <c r="BM18" i="3"/>
  <c r="BL18" i="3"/>
  <c r="BJ18" i="3"/>
  <c r="BI18" i="3"/>
  <c r="BH18" i="3"/>
  <c r="BG18" i="3"/>
  <c r="BF18" i="3"/>
  <c r="BE18" i="3"/>
  <c r="BD18" i="3"/>
  <c r="BC18" i="3"/>
  <c r="AR18" i="3"/>
  <c r="AQ18" i="3"/>
  <c r="AP18" i="3"/>
  <c r="AO18" i="3"/>
  <c r="AN18" i="3"/>
  <c r="AM18" i="3"/>
  <c r="AL18" i="3"/>
  <c r="AK18" i="3"/>
  <c r="AJ18" i="3"/>
  <c r="AI18" i="3"/>
  <c r="AH18" i="3"/>
  <c r="AG18" i="3"/>
  <c r="AF18" i="3"/>
  <c r="AE18" i="3"/>
  <c r="AD18" i="3"/>
  <c r="AC18" i="3"/>
  <c r="AB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H18" i="3"/>
  <c r="G18" i="3"/>
  <c r="F18" i="3"/>
  <c r="E18" i="3"/>
  <c r="D18" i="3"/>
  <c r="C18" i="3"/>
  <c r="B18" i="3"/>
  <c r="A18" i="3"/>
  <c r="FW17" i="3"/>
  <c r="FV17" i="3"/>
  <c r="FU17" i="3"/>
  <c r="FT17" i="3"/>
  <c r="FS17" i="3"/>
  <c r="FR17" i="3"/>
  <c r="FQ17" i="3"/>
  <c r="FP17" i="3"/>
  <c r="EM17" i="3"/>
  <c r="EL17" i="3"/>
  <c r="EK17" i="3"/>
  <c r="EJ17" i="3"/>
  <c r="EI17" i="3"/>
  <c r="EH17" i="3"/>
  <c r="EG17" i="3"/>
  <c r="EF17" i="3"/>
  <c r="DU17" i="3"/>
  <c r="H21" i="4" s="1"/>
  <c r="H20" i="5" s="1"/>
  <c r="DT17" i="3"/>
  <c r="G21" i="4" s="1"/>
  <c r="G20" i="5" s="1"/>
  <c r="DS17" i="3"/>
  <c r="F21" i="4" s="1"/>
  <c r="F20" i="5" s="1"/>
  <c r="DR17" i="3"/>
  <c r="E21" i="4" s="1"/>
  <c r="E20" i="5" s="1"/>
  <c r="DQ17" i="3"/>
  <c r="D21" i="4" s="1"/>
  <c r="D20" i="5" s="1"/>
  <c r="DP17" i="3"/>
  <c r="C21" i="4" s="1"/>
  <c r="C20" i="5" s="1"/>
  <c r="DO17" i="3"/>
  <c r="B21" i="4" s="1"/>
  <c r="B20" i="5" s="1"/>
  <c r="DN17" i="3"/>
  <c r="A21" i="4" s="1"/>
  <c r="A20" i="5" s="1"/>
  <c r="DL17" i="3"/>
  <c r="DK17" i="3"/>
  <c r="DJ17" i="3"/>
  <c r="DI17" i="3"/>
  <c r="DH17" i="3"/>
  <c r="DG17" i="3"/>
  <c r="DF17" i="3"/>
  <c r="DE17" i="3"/>
  <c r="DC17" i="3"/>
  <c r="DB17" i="3"/>
  <c r="DA17" i="3"/>
  <c r="CZ17" i="3"/>
  <c r="CY17" i="3"/>
  <c r="CX17" i="3"/>
  <c r="CW17" i="3"/>
  <c r="CV17" i="3"/>
  <c r="CT17" i="3"/>
  <c r="CS17" i="3"/>
  <c r="CR17" i="3"/>
  <c r="CQ17" i="3"/>
  <c r="CP17" i="3"/>
  <c r="CO17" i="3"/>
  <c r="CN17" i="3"/>
  <c r="CM17" i="3"/>
  <c r="CL17" i="3"/>
  <c r="CK17" i="3"/>
  <c r="CJ17" i="3"/>
  <c r="CI17" i="3"/>
  <c r="CH17" i="3"/>
  <c r="CG17" i="3"/>
  <c r="CF17" i="3"/>
  <c r="CE17" i="3"/>
  <c r="CD17" i="3"/>
  <c r="CB17" i="3"/>
  <c r="CA17" i="3"/>
  <c r="BZ17" i="3"/>
  <c r="BY17" i="3"/>
  <c r="BX17" i="3"/>
  <c r="BW17" i="3"/>
  <c r="BV17" i="3"/>
  <c r="BU17" i="3"/>
  <c r="BS17" i="3"/>
  <c r="BR17" i="3"/>
  <c r="BQ17" i="3"/>
  <c r="BP17" i="3"/>
  <c r="BO17" i="3"/>
  <c r="BN17" i="3"/>
  <c r="BM17" i="3"/>
  <c r="BL17" i="3"/>
  <c r="BJ17" i="3"/>
  <c r="BI17" i="3"/>
  <c r="BH17" i="3"/>
  <c r="BG17" i="3"/>
  <c r="BF17" i="3"/>
  <c r="BE17" i="3"/>
  <c r="BD17" i="3"/>
  <c r="BC17" i="3"/>
  <c r="AR17" i="3"/>
  <c r="AQ17" i="3"/>
  <c r="AP17" i="3"/>
  <c r="AO17" i="3"/>
  <c r="AN17" i="3"/>
  <c r="AM17" i="3"/>
  <c r="AL17" i="3"/>
  <c r="AK17" i="3"/>
  <c r="AI17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Q17" i="3"/>
  <c r="P17" i="3"/>
  <c r="O17" i="3"/>
  <c r="N17" i="3"/>
  <c r="M17" i="3"/>
  <c r="L17" i="3"/>
  <c r="K17" i="3"/>
  <c r="J17" i="3"/>
  <c r="H17" i="3"/>
  <c r="G17" i="3"/>
  <c r="F17" i="3"/>
  <c r="E17" i="3"/>
  <c r="D17" i="3"/>
  <c r="C17" i="3"/>
  <c r="B17" i="3"/>
  <c r="A17" i="3"/>
  <c r="FW16" i="3"/>
  <c r="FV16" i="3"/>
  <c r="FU16" i="3"/>
  <c r="FT16" i="3"/>
  <c r="FS16" i="3"/>
  <c r="FR16" i="3"/>
  <c r="FQ16" i="3"/>
  <c r="FP16" i="3"/>
  <c r="EM16" i="3"/>
  <c r="EL16" i="3"/>
  <c r="EK16" i="3"/>
  <c r="EJ16" i="3"/>
  <c r="EI16" i="3"/>
  <c r="EH16" i="3"/>
  <c r="EG16" i="3"/>
  <c r="EF16" i="3"/>
  <c r="DU16" i="3"/>
  <c r="H20" i="4" s="1"/>
  <c r="H19" i="5" s="1"/>
  <c r="DT16" i="3"/>
  <c r="G20" i="4" s="1"/>
  <c r="G19" i="5" s="1"/>
  <c r="DS16" i="3"/>
  <c r="F20" i="4" s="1"/>
  <c r="F19" i="5" s="1"/>
  <c r="DR16" i="3"/>
  <c r="E20" i="4" s="1"/>
  <c r="E19" i="5" s="1"/>
  <c r="DQ16" i="3"/>
  <c r="D20" i="4" s="1"/>
  <c r="D19" i="5" s="1"/>
  <c r="DP16" i="3"/>
  <c r="C20" i="4" s="1"/>
  <c r="C19" i="5" s="1"/>
  <c r="DO16" i="3"/>
  <c r="B20" i="4" s="1"/>
  <c r="B19" i="5" s="1"/>
  <c r="DN16" i="3"/>
  <c r="A20" i="4" s="1"/>
  <c r="A19" i="5" s="1"/>
  <c r="DL16" i="3"/>
  <c r="DK16" i="3"/>
  <c r="DJ16" i="3"/>
  <c r="DI16" i="3"/>
  <c r="DH16" i="3"/>
  <c r="DG16" i="3"/>
  <c r="DF16" i="3"/>
  <c r="DE16" i="3"/>
  <c r="DC16" i="3"/>
  <c r="DB16" i="3"/>
  <c r="DA16" i="3"/>
  <c r="CZ16" i="3"/>
  <c r="CY16" i="3"/>
  <c r="CX16" i="3"/>
  <c r="CW16" i="3"/>
  <c r="CV16" i="3"/>
  <c r="CT16" i="3"/>
  <c r="CS16" i="3"/>
  <c r="CR16" i="3"/>
  <c r="CQ16" i="3"/>
  <c r="CP16" i="3"/>
  <c r="CO16" i="3"/>
  <c r="CN16" i="3"/>
  <c r="CM16" i="3"/>
  <c r="CK16" i="3"/>
  <c r="CJ16" i="3"/>
  <c r="CI16" i="3"/>
  <c r="CH16" i="3"/>
  <c r="CG16" i="3"/>
  <c r="CF16" i="3"/>
  <c r="CE16" i="3"/>
  <c r="CD16" i="3"/>
  <c r="CC16" i="3"/>
  <c r="CB16" i="3"/>
  <c r="CA16" i="3"/>
  <c r="BZ16" i="3"/>
  <c r="BY16" i="3"/>
  <c r="BX16" i="3"/>
  <c r="BW16" i="3"/>
  <c r="BV16" i="3"/>
  <c r="BU16" i="3"/>
  <c r="BS16" i="3"/>
  <c r="BR16" i="3"/>
  <c r="BQ16" i="3"/>
  <c r="BP16" i="3"/>
  <c r="BO16" i="3"/>
  <c r="BN16" i="3"/>
  <c r="BM16" i="3"/>
  <c r="BL16" i="3"/>
  <c r="BJ16" i="3"/>
  <c r="BI16" i="3"/>
  <c r="BH16" i="3"/>
  <c r="BG16" i="3"/>
  <c r="BF16" i="3"/>
  <c r="BE16" i="3"/>
  <c r="BD16" i="3"/>
  <c r="BC16" i="3"/>
  <c r="BA16" i="3"/>
  <c r="AZ16" i="3"/>
  <c r="AY16" i="3"/>
  <c r="AX16" i="3"/>
  <c r="AW16" i="3"/>
  <c r="AV16" i="3"/>
  <c r="AU16" i="3"/>
  <c r="AT16" i="3"/>
  <c r="AR16" i="3"/>
  <c r="AQ16" i="3"/>
  <c r="AP16" i="3"/>
  <c r="AO16" i="3"/>
  <c r="AN16" i="3"/>
  <c r="AM16" i="3"/>
  <c r="AL16" i="3"/>
  <c r="AK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Q16" i="3"/>
  <c r="P16" i="3"/>
  <c r="O16" i="3"/>
  <c r="N16" i="3"/>
  <c r="M16" i="3"/>
  <c r="L16" i="3"/>
  <c r="K16" i="3"/>
  <c r="J16" i="3"/>
  <c r="H16" i="3"/>
  <c r="G16" i="3"/>
  <c r="F16" i="3"/>
  <c r="E16" i="3"/>
  <c r="D16" i="3"/>
  <c r="C16" i="3"/>
  <c r="B16" i="3"/>
  <c r="A16" i="3"/>
  <c r="GO15" i="3"/>
  <c r="GN15" i="3"/>
  <c r="GM15" i="3"/>
  <c r="GL15" i="3"/>
  <c r="GK15" i="3"/>
  <c r="GJ15" i="3"/>
  <c r="GI15" i="3"/>
  <c r="GH15" i="3"/>
  <c r="GF15" i="3"/>
  <c r="GE15" i="3"/>
  <c r="GD15" i="3"/>
  <c r="GC15" i="3"/>
  <c r="GB15" i="3"/>
  <c r="GA15" i="3"/>
  <c r="FZ15" i="3"/>
  <c r="FY15" i="3"/>
  <c r="FW15" i="3"/>
  <c r="FV15" i="3"/>
  <c r="FU15" i="3"/>
  <c r="FT15" i="3"/>
  <c r="FS15" i="3"/>
  <c r="FR15" i="3"/>
  <c r="FQ15" i="3"/>
  <c r="FP15" i="3"/>
  <c r="EM15" i="3"/>
  <c r="EL15" i="3"/>
  <c r="EK15" i="3"/>
  <c r="EJ15" i="3"/>
  <c r="EI15" i="3"/>
  <c r="EH15" i="3"/>
  <c r="EG15" i="3"/>
  <c r="EF15" i="3"/>
  <c r="DU15" i="3"/>
  <c r="H19" i="4" s="1"/>
  <c r="H18" i="5" s="1"/>
  <c r="DT15" i="3"/>
  <c r="G19" i="4" s="1"/>
  <c r="G18" i="5" s="1"/>
  <c r="DS15" i="3"/>
  <c r="F19" i="4" s="1"/>
  <c r="F18" i="5" s="1"/>
  <c r="DR15" i="3"/>
  <c r="DQ15" i="3"/>
  <c r="D19" i="4" s="1"/>
  <c r="D18" i="5" s="1"/>
  <c r="DP15" i="3"/>
  <c r="C19" i="4" s="1"/>
  <c r="C18" i="5" s="1"/>
  <c r="DO15" i="3"/>
  <c r="DN15" i="3"/>
  <c r="A19" i="4" s="1"/>
  <c r="A18" i="5" s="1"/>
  <c r="DL15" i="3"/>
  <c r="DK15" i="3"/>
  <c r="DJ15" i="3"/>
  <c r="DI15" i="3"/>
  <c r="DH15" i="3"/>
  <c r="DG15" i="3"/>
  <c r="DF15" i="3"/>
  <c r="DE15" i="3"/>
  <c r="DC15" i="3"/>
  <c r="DB15" i="3"/>
  <c r="DA15" i="3"/>
  <c r="CZ15" i="3"/>
  <c r="CY15" i="3"/>
  <c r="CX15" i="3"/>
  <c r="CW15" i="3"/>
  <c r="CV15" i="3"/>
  <c r="CU15" i="3"/>
  <c r="CT15" i="3"/>
  <c r="CS15" i="3"/>
  <c r="CR15" i="3"/>
  <c r="CQ15" i="3"/>
  <c r="CP15" i="3"/>
  <c r="CO15" i="3"/>
  <c r="CN15" i="3"/>
  <c r="CM15" i="3"/>
  <c r="CK15" i="3"/>
  <c r="CJ15" i="3"/>
  <c r="CI15" i="3"/>
  <c r="CH15" i="3"/>
  <c r="CG15" i="3"/>
  <c r="CF15" i="3"/>
  <c r="CE15" i="3"/>
  <c r="CD15" i="3"/>
  <c r="CC15" i="3"/>
  <c r="CB15" i="3"/>
  <c r="CA15" i="3"/>
  <c r="BZ15" i="3"/>
  <c r="BY15" i="3"/>
  <c r="BX15" i="3"/>
  <c r="BW15" i="3"/>
  <c r="BV15" i="3"/>
  <c r="BU15" i="3"/>
  <c r="BS15" i="3"/>
  <c r="BR15" i="3"/>
  <c r="BQ15" i="3"/>
  <c r="BP15" i="3"/>
  <c r="BO15" i="3"/>
  <c r="BN15" i="3"/>
  <c r="BM15" i="3"/>
  <c r="BL15" i="3"/>
  <c r="BJ15" i="3"/>
  <c r="BI15" i="3"/>
  <c r="BH15" i="3"/>
  <c r="BG15" i="3"/>
  <c r="BF15" i="3"/>
  <c r="BE15" i="3"/>
  <c r="BD15" i="3"/>
  <c r="BC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Q15" i="3"/>
  <c r="P15" i="3"/>
  <c r="O15" i="3"/>
  <c r="N15" i="3"/>
  <c r="M15" i="3"/>
  <c r="L15" i="3"/>
  <c r="K15" i="3"/>
  <c r="J15" i="3"/>
  <c r="H15" i="3"/>
  <c r="G15" i="3"/>
  <c r="F15" i="3"/>
  <c r="E15" i="3"/>
  <c r="D15" i="3"/>
  <c r="C15" i="3"/>
  <c r="B15" i="3"/>
  <c r="A15" i="3"/>
  <c r="GO14" i="3"/>
  <c r="GN14" i="3"/>
  <c r="GM14" i="3"/>
  <c r="GL14" i="3"/>
  <c r="GK14" i="3"/>
  <c r="GJ14" i="3"/>
  <c r="GI14" i="3"/>
  <c r="GH14" i="3"/>
  <c r="GF14" i="3"/>
  <c r="GE14" i="3"/>
  <c r="GD14" i="3"/>
  <c r="GC14" i="3"/>
  <c r="GB14" i="3"/>
  <c r="GA14" i="3"/>
  <c r="FZ14" i="3"/>
  <c r="FY14" i="3"/>
  <c r="FW14" i="3"/>
  <c r="FV14" i="3"/>
  <c r="FU14" i="3"/>
  <c r="FT14" i="3"/>
  <c r="FS14" i="3"/>
  <c r="FR14" i="3"/>
  <c r="FQ14" i="3"/>
  <c r="FP14" i="3"/>
  <c r="FE14" i="3"/>
  <c r="FD14" i="3"/>
  <c r="FC14" i="3"/>
  <c r="FB14" i="3"/>
  <c r="FA14" i="3"/>
  <c r="EZ14" i="3"/>
  <c r="EY14" i="3"/>
  <c r="EX14" i="3"/>
  <c r="EM14" i="3"/>
  <c r="EL14" i="3"/>
  <c r="EK14" i="3"/>
  <c r="EJ14" i="3"/>
  <c r="EI14" i="3"/>
  <c r="EH14" i="3"/>
  <c r="EG14" i="3"/>
  <c r="EF14" i="3"/>
  <c r="ED14" i="3"/>
  <c r="EC14" i="3"/>
  <c r="EB14" i="3"/>
  <c r="EA14" i="3"/>
  <c r="DZ14" i="3"/>
  <c r="DY14" i="3"/>
  <c r="DX14" i="3"/>
  <c r="DW14" i="3"/>
  <c r="DU14" i="3"/>
  <c r="H18" i="4" s="1"/>
  <c r="H17" i="5" s="1"/>
  <c r="DT14" i="3"/>
  <c r="G18" i="4" s="1"/>
  <c r="G17" i="5" s="1"/>
  <c r="DS14" i="3"/>
  <c r="F18" i="4" s="1"/>
  <c r="F17" i="5" s="1"/>
  <c r="DR14" i="3"/>
  <c r="E18" i="4" s="1"/>
  <c r="E17" i="5" s="1"/>
  <c r="DQ14" i="3"/>
  <c r="D18" i="4" s="1"/>
  <c r="D17" i="5" s="1"/>
  <c r="DP14" i="3"/>
  <c r="C18" i="4" s="1"/>
  <c r="C17" i="5" s="1"/>
  <c r="DO14" i="3"/>
  <c r="B18" i="4" s="1"/>
  <c r="B17" i="5" s="1"/>
  <c r="DN14" i="3"/>
  <c r="A18" i="4" s="1"/>
  <c r="A17" i="5" s="1"/>
  <c r="DM14" i="3"/>
  <c r="DL14" i="3"/>
  <c r="DK14" i="3"/>
  <c r="DJ14" i="3"/>
  <c r="DI14" i="3"/>
  <c r="DH14" i="3"/>
  <c r="DG14" i="3"/>
  <c r="DF14" i="3"/>
  <c r="DE14" i="3"/>
  <c r="DC14" i="3"/>
  <c r="DB14" i="3"/>
  <c r="DA14" i="3"/>
  <c r="CZ14" i="3"/>
  <c r="CY14" i="3"/>
  <c r="CX14" i="3"/>
  <c r="CW14" i="3"/>
  <c r="CV14" i="3"/>
  <c r="CT14" i="3"/>
  <c r="CS14" i="3"/>
  <c r="CR14" i="3"/>
  <c r="CQ14" i="3"/>
  <c r="CP14" i="3"/>
  <c r="CO14" i="3"/>
  <c r="CN14" i="3"/>
  <c r="CM14" i="3"/>
  <c r="CK14" i="3"/>
  <c r="CJ14" i="3"/>
  <c r="CI14" i="3"/>
  <c r="CH14" i="3"/>
  <c r="CG14" i="3"/>
  <c r="CF14" i="3"/>
  <c r="CE14" i="3"/>
  <c r="CD14" i="3"/>
  <c r="CC14" i="3"/>
  <c r="CB14" i="3"/>
  <c r="CA14" i="3"/>
  <c r="BZ14" i="3"/>
  <c r="BY14" i="3"/>
  <c r="BX14" i="3"/>
  <c r="BW14" i="3"/>
  <c r="BV14" i="3"/>
  <c r="BU14" i="3"/>
  <c r="BS14" i="3"/>
  <c r="BR14" i="3"/>
  <c r="BQ14" i="3"/>
  <c r="BP14" i="3"/>
  <c r="BO14" i="3"/>
  <c r="BN14" i="3"/>
  <c r="BM14" i="3"/>
  <c r="BL14" i="3"/>
  <c r="BK14" i="3"/>
  <c r="BJ14" i="3"/>
  <c r="BI14" i="3"/>
  <c r="BH14" i="3"/>
  <c r="BG14" i="3"/>
  <c r="BF14" i="3"/>
  <c r="BE14" i="3"/>
  <c r="BD14" i="3"/>
  <c r="BC14" i="3"/>
  <c r="BA14" i="3"/>
  <c r="AZ14" i="3"/>
  <c r="AY14" i="3"/>
  <c r="AX14" i="3"/>
  <c r="AW14" i="3"/>
  <c r="AV14" i="3"/>
  <c r="AU14" i="3"/>
  <c r="AT14" i="3"/>
  <c r="AR14" i="3"/>
  <c r="AQ14" i="3"/>
  <c r="AP14" i="3"/>
  <c r="AO14" i="3"/>
  <c r="AN14" i="3"/>
  <c r="AM14" i="3"/>
  <c r="AL14" i="3"/>
  <c r="AK14" i="3"/>
  <c r="AI14" i="3"/>
  <c r="AH14" i="3"/>
  <c r="AG14" i="3"/>
  <c r="AF14" i="3"/>
  <c r="AE14" i="3"/>
  <c r="AD14" i="3"/>
  <c r="AC14" i="3"/>
  <c r="AB14" i="3"/>
  <c r="Z14" i="3"/>
  <c r="Y14" i="3"/>
  <c r="X14" i="3"/>
  <c r="W14" i="3"/>
  <c r="V14" i="3"/>
  <c r="U14" i="3"/>
  <c r="T14" i="3"/>
  <c r="S14" i="3"/>
  <c r="Q14" i="3"/>
  <c r="P14" i="3"/>
  <c r="O14" i="3"/>
  <c r="N14" i="3"/>
  <c r="M14" i="3"/>
  <c r="L14" i="3"/>
  <c r="K14" i="3"/>
  <c r="J14" i="3"/>
  <c r="H14" i="3"/>
  <c r="G14" i="3"/>
  <c r="F14" i="3"/>
  <c r="E14" i="3"/>
  <c r="D14" i="3"/>
  <c r="C14" i="3"/>
  <c r="B14" i="3"/>
  <c r="A14" i="3"/>
  <c r="GO13" i="3"/>
  <c r="GN13" i="3"/>
  <c r="GM13" i="3"/>
  <c r="GL13" i="3"/>
  <c r="GK13" i="3"/>
  <c r="GJ13" i="3"/>
  <c r="GI13" i="3"/>
  <c r="GH13" i="3"/>
  <c r="GG13" i="3"/>
  <c r="GF13" i="3"/>
  <c r="GE13" i="3"/>
  <c r="GD13" i="3"/>
  <c r="GC13" i="3"/>
  <c r="GB13" i="3"/>
  <c r="GA13" i="3"/>
  <c r="FZ13" i="3"/>
  <c r="FY13" i="3"/>
  <c r="FW13" i="3"/>
  <c r="FV13" i="3"/>
  <c r="FU13" i="3"/>
  <c r="FT13" i="3"/>
  <c r="FS13" i="3"/>
  <c r="FR13" i="3"/>
  <c r="FQ13" i="3"/>
  <c r="FP13" i="3"/>
  <c r="FE13" i="3"/>
  <c r="FD13" i="3"/>
  <c r="FC13" i="3"/>
  <c r="FB13" i="3"/>
  <c r="FA13" i="3"/>
  <c r="EZ13" i="3"/>
  <c r="EY13" i="3"/>
  <c r="EX13" i="3"/>
  <c r="EV13" i="3"/>
  <c r="EU13" i="3"/>
  <c r="ET13" i="3"/>
  <c r="ES13" i="3"/>
  <c r="ER13" i="3"/>
  <c r="EQ13" i="3"/>
  <c r="EP13" i="3"/>
  <c r="EO13" i="3"/>
  <c r="EM13" i="3"/>
  <c r="EL13" i="3"/>
  <c r="EK13" i="3"/>
  <c r="EJ13" i="3"/>
  <c r="EI13" i="3"/>
  <c r="EH13" i="3"/>
  <c r="EG13" i="3"/>
  <c r="EF13" i="3"/>
  <c r="ED13" i="3"/>
  <c r="EC13" i="3"/>
  <c r="EB13" i="3"/>
  <c r="EA13" i="3"/>
  <c r="DZ13" i="3"/>
  <c r="DY13" i="3"/>
  <c r="DX13" i="3"/>
  <c r="DW13" i="3"/>
  <c r="DV13" i="3"/>
  <c r="I17" i="4" s="1"/>
  <c r="I16" i="5" s="1"/>
  <c r="DU13" i="3"/>
  <c r="H17" i="4" s="1"/>
  <c r="H16" i="5" s="1"/>
  <c r="DT13" i="3"/>
  <c r="G17" i="4" s="1"/>
  <c r="G16" i="5" s="1"/>
  <c r="DS13" i="3"/>
  <c r="F17" i="4" s="1"/>
  <c r="F16" i="5" s="1"/>
  <c r="DR13" i="3"/>
  <c r="E17" i="4" s="1"/>
  <c r="E16" i="5" s="1"/>
  <c r="DQ13" i="3"/>
  <c r="D17" i="4" s="1"/>
  <c r="D16" i="5" s="1"/>
  <c r="DP13" i="3"/>
  <c r="C17" i="4" s="1"/>
  <c r="C16" i="5" s="1"/>
  <c r="DO13" i="3"/>
  <c r="B17" i="4" s="1"/>
  <c r="B16" i="5" s="1"/>
  <c r="DN13" i="3"/>
  <c r="A17" i="4" s="1"/>
  <c r="A16" i="5" s="1"/>
  <c r="DL13" i="3"/>
  <c r="DK13" i="3"/>
  <c r="DJ13" i="3"/>
  <c r="DI13" i="3"/>
  <c r="DH13" i="3"/>
  <c r="DG13" i="3"/>
  <c r="DF13" i="3"/>
  <c r="DE13" i="3"/>
  <c r="DD13" i="3"/>
  <c r="DC13" i="3"/>
  <c r="DB13" i="3"/>
  <c r="DA13" i="3"/>
  <c r="CZ13" i="3"/>
  <c r="CY13" i="3"/>
  <c r="CX13" i="3"/>
  <c r="CW13" i="3"/>
  <c r="CV13" i="3"/>
  <c r="CT13" i="3"/>
  <c r="CS13" i="3"/>
  <c r="CR13" i="3"/>
  <c r="CQ13" i="3"/>
  <c r="CP13" i="3"/>
  <c r="CO13" i="3"/>
  <c r="CN13" i="3"/>
  <c r="CM13" i="3"/>
  <c r="CK13" i="3"/>
  <c r="CJ13" i="3"/>
  <c r="CI13" i="3"/>
  <c r="CH13" i="3"/>
  <c r="CG13" i="3"/>
  <c r="CF13" i="3"/>
  <c r="CE13" i="3"/>
  <c r="CD13" i="3"/>
  <c r="CB13" i="3"/>
  <c r="CA13" i="3"/>
  <c r="BZ13" i="3"/>
  <c r="BY13" i="3"/>
  <c r="BX13" i="3"/>
  <c r="BW13" i="3"/>
  <c r="BV13" i="3"/>
  <c r="BU13" i="3"/>
  <c r="BS13" i="3"/>
  <c r="BR13" i="3"/>
  <c r="BQ13" i="3"/>
  <c r="BP13" i="3"/>
  <c r="BO13" i="3"/>
  <c r="BN13" i="3"/>
  <c r="BM13" i="3"/>
  <c r="BL13" i="3"/>
  <c r="BJ13" i="3"/>
  <c r="BI13" i="3"/>
  <c r="BH13" i="3"/>
  <c r="BG13" i="3"/>
  <c r="BF13" i="3"/>
  <c r="BE13" i="3"/>
  <c r="BD13" i="3"/>
  <c r="BC13" i="3"/>
  <c r="BA13" i="3"/>
  <c r="AZ13" i="3"/>
  <c r="AY13" i="3"/>
  <c r="AX13" i="3"/>
  <c r="AW13" i="3"/>
  <c r="AV13" i="3"/>
  <c r="AU13" i="3"/>
  <c r="AT13" i="3"/>
  <c r="AR13" i="3"/>
  <c r="AQ13" i="3"/>
  <c r="AP13" i="3"/>
  <c r="AO13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B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H13" i="3"/>
  <c r="G13" i="3"/>
  <c r="F13" i="3"/>
  <c r="E13" i="3"/>
  <c r="D13" i="3"/>
  <c r="C13" i="3"/>
  <c r="B13" i="3"/>
  <c r="A13" i="3"/>
  <c r="GO12" i="3"/>
  <c r="GN12" i="3"/>
  <c r="GM12" i="3"/>
  <c r="GL12" i="3"/>
  <c r="GK12" i="3"/>
  <c r="GJ12" i="3"/>
  <c r="GI12" i="3"/>
  <c r="GH12" i="3"/>
  <c r="GF12" i="3"/>
  <c r="GE12" i="3"/>
  <c r="GD12" i="3"/>
  <c r="GC12" i="3"/>
  <c r="GB12" i="3"/>
  <c r="GA12" i="3"/>
  <c r="FZ12" i="3"/>
  <c r="FY12" i="3"/>
  <c r="FX12" i="3"/>
  <c r="FW12" i="3"/>
  <c r="FV12" i="3"/>
  <c r="FU12" i="3"/>
  <c r="FT12" i="3"/>
  <c r="FS12" i="3"/>
  <c r="FR12" i="3"/>
  <c r="FQ12" i="3"/>
  <c r="FP12" i="3"/>
  <c r="FE12" i="3"/>
  <c r="FD12" i="3"/>
  <c r="FC12" i="3"/>
  <c r="FB12" i="3"/>
  <c r="FA12" i="3"/>
  <c r="EZ12" i="3"/>
  <c r="EY12" i="3"/>
  <c r="EX12" i="3"/>
  <c r="EV12" i="3"/>
  <c r="EU12" i="3"/>
  <c r="ET12" i="3"/>
  <c r="ES12" i="3"/>
  <c r="ER12" i="3"/>
  <c r="EQ12" i="3"/>
  <c r="EP12" i="3"/>
  <c r="EO12" i="3"/>
  <c r="EM12" i="3"/>
  <c r="EL12" i="3"/>
  <c r="EK12" i="3"/>
  <c r="EJ12" i="3"/>
  <c r="EI12" i="3"/>
  <c r="EH12" i="3"/>
  <c r="EG12" i="3"/>
  <c r="EF12" i="3"/>
  <c r="ED12" i="3"/>
  <c r="EC12" i="3"/>
  <c r="EB12" i="3"/>
  <c r="EA12" i="3"/>
  <c r="DZ12" i="3"/>
  <c r="DY12" i="3"/>
  <c r="DX12" i="3"/>
  <c r="DW12" i="3"/>
  <c r="DU12" i="3"/>
  <c r="H16" i="4" s="1"/>
  <c r="H15" i="5" s="1"/>
  <c r="DT12" i="3"/>
  <c r="G16" i="4" s="1"/>
  <c r="G15" i="5" s="1"/>
  <c r="DS12" i="3"/>
  <c r="F16" i="4" s="1"/>
  <c r="F15" i="5" s="1"/>
  <c r="DR12" i="3"/>
  <c r="E16" i="4" s="1"/>
  <c r="E15" i="5" s="1"/>
  <c r="DQ12" i="3"/>
  <c r="D16" i="4" s="1"/>
  <c r="D15" i="5" s="1"/>
  <c r="DP12" i="3"/>
  <c r="C16" i="4" s="1"/>
  <c r="C15" i="5" s="1"/>
  <c r="DO12" i="3"/>
  <c r="B16" i="4" s="1"/>
  <c r="B15" i="5" s="1"/>
  <c r="DN12" i="3"/>
  <c r="A16" i="4" s="1"/>
  <c r="A15" i="5" s="1"/>
  <c r="DL12" i="3"/>
  <c r="DK12" i="3"/>
  <c r="DJ12" i="3"/>
  <c r="DI12" i="3"/>
  <c r="DH12" i="3"/>
  <c r="DG12" i="3"/>
  <c r="DF12" i="3"/>
  <c r="DE12" i="3"/>
  <c r="DC12" i="3"/>
  <c r="DB12" i="3"/>
  <c r="DA12" i="3"/>
  <c r="CZ12" i="3"/>
  <c r="CY12" i="3"/>
  <c r="CX12" i="3"/>
  <c r="CW12" i="3"/>
  <c r="CV12" i="3"/>
  <c r="CT12" i="3"/>
  <c r="CS12" i="3"/>
  <c r="CR12" i="3"/>
  <c r="CQ12" i="3"/>
  <c r="CP12" i="3"/>
  <c r="CO12" i="3"/>
  <c r="CN12" i="3"/>
  <c r="CM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A12" i="3"/>
  <c r="AZ12" i="3"/>
  <c r="AY12" i="3"/>
  <c r="AX12" i="3"/>
  <c r="AW12" i="3"/>
  <c r="AV12" i="3"/>
  <c r="AU12" i="3"/>
  <c r="AT12" i="3"/>
  <c r="AR12" i="3"/>
  <c r="AQ12" i="3"/>
  <c r="AP12" i="3"/>
  <c r="AO12" i="3"/>
  <c r="AN12" i="3"/>
  <c r="AM12" i="3"/>
  <c r="AL12" i="3"/>
  <c r="AK12" i="3"/>
  <c r="AI12" i="3"/>
  <c r="AH12" i="3"/>
  <c r="AG12" i="3"/>
  <c r="AF12" i="3"/>
  <c r="AE12" i="3"/>
  <c r="AD12" i="3"/>
  <c r="AC12" i="3"/>
  <c r="AB12" i="3"/>
  <c r="Z12" i="3"/>
  <c r="Y12" i="3"/>
  <c r="X12" i="3"/>
  <c r="W12" i="3"/>
  <c r="V12" i="3"/>
  <c r="U12" i="3"/>
  <c r="T12" i="3"/>
  <c r="S12" i="3"/>
  <c r="Q12" i="3"/>
  <c r="P12" i="3"/>
  <c r="O12" i="3"/>
  <c r="N12" i="3"/>
  <c r="M12" i="3"/>
  <c r="L12" i="3"/>
  <c r="K12" i="3"/>
  <c r="J12" i="3"/>
  <c r="H12" i="3"/>
  <c r="G12" i="3"/>
  <c r="F12" i="3"/>
  <c r="E12" i="3"/>
  <c r="D12" i="3"/>
  <c r="C12" i="3"/>
  <c r="B12" i="3"/>
  <c r="A12" i="3"/>
  <c r="GX11" i="3"/>
  <c r="GW11" i="3"/>
  <c r="GV11" i="3"/>
  <c r="GU11" i="3"/>
  <c r="GT11" i="3"/>
  <c r="GS11" i="3"/>
  <c r="GR11" i="3"/>
  <c r="GQ11" i="3"/>
  <c r="GO11" i="3"/>
  <c r="GN11" i="3"/>
  <c r="GM11" i="3"/>
  <c r="GL11" i="3"/>
  <c r="GK11" i="3"/>
  <c r="GJ11" i="3"/>
  <c r="GI11" i="3"/>
  <c r="GH11" i="3"/>
  <c r="GF11" i="3"/>
  <c r="GE11" i="3"/>
  <c r="GD11" i="3"/>
  <c r="GC11" i="3"/>
  <c r="GB11" i="3"/>
  <c r="GA11" i="3"/>
  <c r="FZ11" i="3"/>
  <c r="FY11" i="3"/>
  <c r="FW11" i="3"/>
  <c r="FV11" i="3"/>
  <c r="FU11" i="3"/>
  <c r="FT11" i="3"/>
  <c r="FS11" i="3"/>
  <c r="FR11" i="3"/>
  <c r="FQ11" i="3"/>
  <c r="FP11" i="3"/>
  <c r="FN11" i="3"/>
  <c r="FM11" i="3"/>
  <c r="FL11" i="3"/>
  <c r="FK11" i="3"/>
  <c r="FJ11" i="3"/>
  <c r="FI11" i="3"/>
  <c r="FH11" i="3"/>
  <c r="FG11" i="3"/>
  <c r="FE11" i="3"/>
  <c r="FD11" i="3"/>
  <c r="FC11" i="3"/>
  <c r="FB11" i="3"/>
  <c r="FA11" i="3"/>
  <c r="EZ11" i="3"/>
  <c r="EY11" i="3"/>
  <c r="EX11" i="3"/>
  <c r="EV11" i="3"/>
  <c r="EU11" i="3"/>
  <c r="ET11" i="3"/>
  <c r="ES11" i="3"/>
  <c r="ER11" i="3"/>
  <c r="EQ11" i="3"/>
  <c r="EP11" i="3"/>
  <c r="EO11" i="3"/>
  <c r="EN11" i="3"/>
  <c r="EM11" i="3"/>
  <c r="EL11" i="3"/>
  <c r="EK11" i="3"/>
  <c r="EJ11" i="3"/>
  <c r="EI11" i="3"/>
  <c r="EH11" i="3"/>
  <c r="EG11" i="3"/>
  <c r="EF11" i="3"/>
  <c r="ED11" i="3"/>
  <c r="EC11" i="3"/>
  <c r="EB11" i="3"/>
  <c r="EA11" i="3"/>
  <c r="DZ11" i="3"/>
  <c r="DY11" i="3"/>
  <c r="DX11" i="3"/>
  <c r="DW11" i="3"/>
  <c r="DV11" i="3"/>
  <c r="I15" i="4" s="1"/>
  <c r="I14" i="5" s="1"/>
  <c r="DU11" i="3"/>
  <c r="H15" i="4" s="1"/>
  <c r="H14" i="5" s="1"/>
  <c r="DT11" i="3"/>
  <c r="G15" i="4" s="1"/>
  <c r="G14" i="5" s="1"/>
  <c r="DS11" i="3"/>
  <c r="DR11" i="3"/>
  <c r="E15" i="4" s="1"/>
  <c r="E14" i="5" s="1"/>
  <c r="DQ11" i="3"/>
  <c r="D15" i="4" s="1"/>
  <c r="D14" i="5" s="1"/>
  <c r="DP11" i="3"/>
  <c r="C15" i="4" s="1"/>
  <c r="C14" i="5" s="1"/>
  <c r="DO11" i="3"/>
  <c r="B15" i="4" s="1"/>
  <c r="B14" i="5" s="1"/>
  <c r="DN11" i="3"/>
  <c r="A15" i="4" s="1"/>
  <c r="A14" i="5" s="1"/>
  <c r="DL11" i="3"/>
  <c r="DK11" i="3"/>
  <c r="DJ11" i="3"/>
  <c r="DI11" i="3"/>
  <c r="DH11" i="3"/>
  <c r="DG11" i="3"/>
  <c r="DF11" i="3"/>
  <c r="DE11" i="3"/>
  <c r="DC11" i="3"/>
  <c r="DB11" i="3"/>
  <c r="DA11" i="3"/>
  <c r="CZ11" i="3"/>
  <c r="CY11" i="3"/>
  <c r="CX11" i="3"/>
  <c r="CW11" i="3"/>
  <c r="CV11" i="3"/>
  <c r="CT11" i="3"/>
  <c r="CS11" i="3"/>
  <c r="CR11" i="3"/>
  <c r="CQ11" i="3"/>
  <c r="CP11" i="3"/>
  <c r="CO11" i="3"/>
  <c r="CN11" i="3"/>
  <c r="CM11" i="3"/>
  <c r="CL11" i="3"/>
  <c r="CK11" i="3"/>
  <c r="CJ11" i="3"/>
  <c r="CI11" i="3"/>
  <c r="CH11" i="3"/>
  <c r="CG11" i="3"/>
  <c r="CF11" i="3"/>
  <c r="CE11" i="3"/>
  <c r="CD11" i="3"/>
  <c r="CB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O11" i="3"/>
  <c r="BN11" i="3"/>
  <c r="BM11" i="3"/>
  <c r="BL11" i="3"/>
  <c r="BJ11" i="3"/>
  <c r="BI11" i="3"/>
  <c r="BH11" i="3"/>
  <c r="BG11" i="3"/>
  <c r="BF11" i="3"/>
  <c r="BE11" i="3"/>
  <c r="BD11" i="3"/>
  <c r="BC11" i="3"/>
  <c r="BA11" i="3"/>
  <c r="AZ11" i="3"/>
  <c r="AY11" i="3"/>
  <c r="AX11" i="3"/>
  <c r="AW11" i="3"/>
  <c r="AV11" i="3"/>
  <c r="AU11" i="3"/>
  <c r="AT11" i="3"/>
  <c r="AR11" i="3"/>
  <c r="AQ11" i="3"/>
  <c r="AP11" i="3"/>
  <c r="AO11" i="3"/>
  <c r="AN11" i="3"/>
  <c r="AM11" i="3"/>
  <c r="AL11" i="3"/>
  <c r="AK11" i="3"/>
  <c r="AI11" i="3"/>
  <c r="AH11" i="3"/>
  <c r="AG11" i="3"/>
  <c r="AF11" i="3"/>
  <c r="AE11" i="3"/>
  <c r="AD11" i="3"/>
  <c r="AC11" i="3"/>
  <c r="AB11" i="3"/>
  <c r="Z11" i="3"/>
  <c r="Y11" i="3"/>
  <c r="X11" i="3"/>
  <c r="W11" i="3"/>
  <c r="V11" i="3"/>
  <c r="U11" i="3"/>
  <c r="T11" i="3"/>
  <c r="S11" i="3"/>
  <c r="Q11" i="3"/>
  <c r="P11" i="3"/>
  <c r="O11" i="3"/>
  <c r="N11" i="3"/>
  <c r="M11" i="3"/>
  <c r="L11" i="3"/>
  <c r="K11" i="3"/>
  <c r="J11" i="3"/>
  <c r="H11" i="3"/>
  <c r="G11" i="3"/>
  <c r="F11" i="3"/>
  <c r="E11" i="3"/>
  <c r="D11" i="3"/>
  <c r="C11" i="3"/>
  <c r="B11" i="3"/>
  <c r="A11" i="3"/>
  <c r="GY10" i="3"/>
  <c r="GX10" i="3"/>
  <c r="GW10" i="3"/>
  <c r="GV10" i="3"/>
  <c r="GU10" i="3"/>
  <c r="GT10" i="3"/>
  <c r="GS10" i="3"/>
  <c r="GR10" i="3"/>
  <c r="GQ10" i="3"/>
  <c r="GO10" i="3"/>
  <c r="GN10" i="3"/>
  <c r="GM10" i="3"/>
  <c r="GL10" i="3"/>
  <c r="GK10" i="3"/>
  <c r="GJ10" i="3"/>
  <c r="GI10" i="3"/>
  <c r="GH10" i="3"/>
  <c r="GG10" i="3"/>
  <c r="GF10" i="3"/>
  <c r="GE10" i="3"/>
  <c r="GD10" i="3"/>
  <c r="GC10" i="3"/>
  <c r="GB10" i="3"/>
  <c r="GA10" i="3"/>
  <c r="FZ10" i="3"/>
  <c r="FY10" i="3"/>
  <c r="FW10" i="3"/>
  <c r="FV10" i="3"/>
  <c r="FU10" i="3"/>
  <c r="FT10" i="3"/>
  <c r="FS10" i="3"/>
  <c r="FR10" i="3"/>
  <c r="FQ10" i="3"/>
  <c r="FP10" i="3"/>
  <c r="FN10" i="3"/>
  <c r="FM10" i="3"/>
  <c r="FL10" i="3"/>
  <c r="FK10" i="3"/>
  <c r="FJ10" i="3"/>
  <c r="FI10" i="3"/>
  <c r="FH10" i="3"/>
  <c r="FG10" i="3"/>
  <c r="FE10" i="3"/>
  <c r="FD10" i="3"/>
  <c r="FC10" i="3"/>
  <c r="FB10" i="3"/>
  <c r="FA10" i="3"/>
  <c r="EZ10" i="3"/>
  <c r="EY10" i="3"/>
  <c r="EX10" i="3"/>
  <c r="EW10" i="3"/>
  <c r="EV10" i="3"/>
  <c r="EU10" i="3"/>
  <c r="ET10" i="3"/>
  <c r="ES10" i="3"/>
  <c r="ER10" i="3"/>
  <c r="EQ10" i="3"/>
  <c r="EP10" i="3"/>
  <c r="EO10" i="3"/>
  <c r="EM10" i="3"/>
  <c r="EL10" i="3"/>
  <c r="EK10" i="3"/>
  <c r="EJ10" i="3"/>
  <c r="EI10" i="3"/>
  <c r="EH10" i="3"/>
  <c r="EG10" i="3"/>
  <c r="EF10" i="3"/>
  <c r="EE10" i="3"/>
  <c r="ED10" i="3"/>
  <c r="EC10" i="3"/>
  <c r="EB10" i="3"/>
  <c r="EA10" i="3"/>
  <c r="DZ10" i="3"/>
  <c r="DY10" i="3"/>
  <c r="DX10" i="3"/>
  <c r="DW10" i="3"/>
  <c r="DU10" i="3"/>
  <c r="H14" i="4" s="1"/>
  <c r="H13" i="5" s="1"/>
  <c r="DT10" i="3"/>
  <c r="G14" i="4" s="1"/>
  <c r="G13" i="5" s="1"/>
  <c r="DS10" i="3"/>
  <c r="F14" i="4" s="1"/>
  <c r="F13" i="5" s="1"/>
  <c r="DR10" i="3"/>
  <c r="E14" i="4" s="1"/>
  <c r="E13" i="5" s="1"/>
  <c r="DQ10" i="3"/>
  <c r="D14" i="4" s="1"/>
  <c r="D13" i="5" s="1"/>
  <c r="DP10" i="3"/>
  <c r="C14" i="4" s="1"/>
  <c r="C13" i="5" s="1"/>
  <c r="DO10" i="3"/>
  <c r="B14" i="4" s="1"/>
  <c r="B13" i="5" s="1"/>
  <c r="DN10" i="3"/>
  <c r="A14" i="4" s="1"/>
  <c r="A13" i="5" s="1"/>
  <c r="DL10" i="3"/>
  <c r="DK10" i="3"/>
  <c r="DJ10" i="3"/>
  <c r="DI10" i="3"/>
  <c r="DH10" i="3"/>
  <c r="DG10" i="3"/>
  <c r="DF10" i="3"/>
  <c r="DE10" i="3"/>
  <c r="DC10" i="3"/>
  <c r="DB10" i="3"/>
  <c r="DA10" i="3"/>
  <c r="CZ10" i="3"/>
  <c r="CY10" i="3"/>
  <c r="CX10" i="3"/>
  <c r="CW10" i="3"/>
  <c r="CV10" i="3"/>
  <c r="CT10" i="3"/>
  <c r="CS10" i="3"/>
  <c r="CR10" i="3"/>
  <c r="CQ10" i="3"/>
  <c r="CP10" i="3"/>
  <c r="CO10" i="3"/>
  <c r="CN10" i="3"/>
  <c r="CM10" i="3"/>
  <c r="CK10" i="3"/>
  <c r="CJ10" i="3"/>
  <c r="CI10" i="3"/>
  <c r="CH10" i="3"/>
  <c r="CG10" i="3"/>
  <c r="CF10" i="3"/>
  <c r="CE10" i="3"/>
  <c r="CD10" i="3"/>
  <c r="CB10" i="3"/>
  <c r="CA10" i="3"/>
  <c r="BZ10" i="3"/>
  <c r="BY10" i="3"/>
  <c r="BX10" i="3"/>
  <c r="BW10" i="3"/>
  <c r="BV10" i="3"/>
  <c r="BU10" i="3"/>
  <c r="BS10" i="3"/>
  <c r="BR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AI10" i="3"/>
  <c r="AH10" i="3"/>
  <c r="AG10" i="3"/>
  <c r="AF10" i="3"/>
  <c r="AE10" i="3"/>
  <c r="AD10" i="3"/>
  <c r="AC10" i="3"/>
  <c r="AB10" i="3"/>
  <c r="Z10" i="3"/>
  <c r="Y10" i="3"/>
  <c r="X10" i="3"/>
  <c r="W10" i="3"/>
  <c r="V10" i="3"/>
  <c r="U10" i="3"/>
  <c r="T10" i="3"/>
  <c r="S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A10" i="3"/>
  <c r="GX9" i="3"/>
  <c r="GW9" i="3"/>
  <c r="GV9" i="3"/>
  <c r="GU9" i="3"/>
  <c r="GT9" i="3"/>
  <c r="GS9" i="3"/>
  <c r="GR9" i="3"/>
  <c r="GQ9" i="3"/>
  <c r="GP9" i="3"/>
  <c r="GO9" i="3"/>
  <c r="GN9" i="3"/>
  <c r="GM9" i="3"/>
  <c r="GL9" i="3"/>
  <c r="GK9" i="3"/>
  <c r="GJ9" i="3"/>
  <c r="GI9" i="3"/>
  <c r="GH9" i="3"/>
  <c r="GF9" i="3"/>
  <c r="GE9" i="3"/>
  <c r="GD9" i="3"/>
  <c r="GC9" i="3"/>
  <c r="GB9" i="3"/>
  <c r="GA9" i="3"/>
  <c r="FZ9" i="3"/>
  <c r="FY9" i="3"/>
  <c r="FW9" i="3"/>
  <c r="FV9" i="3"/>
  <c r="FU9" i="3"/>
  <c r="FT9" i="3"/>
  <c r="FS9" i="3"/>
  <c r="FR9" i="3"/>
  <c r="FQ9" i="3"/>
  <c r="FP9" i="3"/>
  <c r="FN9" i="3"/>
  <c r="FM9" i="3"/>
  <c r="FL9" i="3"/>
  <c r="FK9" i="3"/>
  <c r="FJ9" i="3"/>
  <c r="FI9" i="3"/>
  <c r="FH9" i="3"/>
  <c r="FG9" i="3"/>
  <c r="FE9" i="3"/>
  <c r="FD9" i="3"/>
  <c r="FC9" i="3"/>
  <c r="FB9" i="3"/>
  <c r="FA9" i="3"/>
  <c r="EZ9" i="3"/>
  <c r="EY9" i="3"/>
  <c r="EX9" i="3"/>
  <c r="EV9" i="3"/>
  <c r="EU9" i="3"/>
  <c r="ET9" i="3"/>
  <c r="ES9" i="3"/>
  <c r="ER9" i="3"/>
  <c r="EQ9" i="3"/>
  <c r="EP9" i="3"/>
  <c r="EO9" i="3"/>
  <c r="EM9" i="3"/>
  <c r="EL9" i="3"/>
  <c r="EK9" i="3"/>
  <c r="EJ9" i="3"/>
  <c r="EI9" i="3"/>
  <c r="EH9" i="3"/>
  <c r="EG9" i="3"/>
  <c r="EF9" i="3"/>
  <c r="ED9" i="3"/>
  <c r="EC9" i="3"/>
  <c r="EB9" i="3"/>
  <c r="EA9" i="3"/>
  <c r="DZ9" i="3"/>
  <c r="DY9" i="3"/>
  <c r="DX9" i="3"/>
  <c r="DW9" i="3"/>
  <c r="DU9" i="3"/>
  <c r="H13" i="4" s="1"/>
  <c r="H12" i="5" s="1"/>
  <c r="DT9" i="3"/>
  <c r="G13" i="4" s="1"/>
  <c r="G12" i="5" s="1"/>
  <c r="DS9" i="3"/>
  <c r="F13" i="4" s="1"/>
  <c r="F12" i="5" s="1"/>
  <c r="DR9" i="3"/>
  <c r="E13" i="4" s="1"/>
  <c r="E12" i="5" s="1"/>
  <c r="DQ9" i="3"/>
  <c r="D13" i="4" s="1"/>
  <c r="D12" i="5" s="1"/>
  <c r="DP9" i="3"/>
  <c r="C13" i="4" s="1"/>
  <c r="C12" i="5" s="1"/>
  <c r="DO9" i="3"/>
  <c r="B13" i="4" s="1"/>
  <c r="B12" i="5" s="1"/>
  <c r="DN9" i="3"/>
  <c r="A13" i="4" s="1"/>
  <c r="A12" i="5" s="1"/>
  <c r="DL9" i="3"/>
  <c r="DK9" i="3"/>
  <c r="DJ9" i="3"/>
  <c r="DI9" i="3"/>
  <c r="DH9" i="3"/>
  <c r="DG9" i="3"/>
  <c r="DF9" i="3"/>
  <c r="DE9" i="3"/>
  <c r="DD9" i="3"/>
  <c r="DC9" i="3"/>
  <c r="DB9" i="3"/>
  <c r="DA9" i="3"/>
  <c r="CZ9" i="3"/>
  <c r="CY9" i="3"/>
  <c r="CX9" i="3"/>
  <c r="CW9" i="3"/>
  <c r="CV9" i="3"/>
  <c r="CT9" i="3"/>
  <c r="CS9" i="3"/>
  <c r="CR9" i="3"/>
  <c r="CQ9" i="3"/>
  <c r="CP9" i="3"/>
  <c r="CO9" i="3"/>
  <c r="CN9" i="3"/>
  <c r="CM9" i="3"/>
  <c r="CK9" i="3"/>
  <c r="CJ9" i="3"/>
  <c r="CI9" i="3"/>
  <c r="CH9" i="3"/>
  <c r="CG9" i="3"/>
  <c r="CF9" i="3"/>
  <c r="CE9" i="3"/>
  <c r="CD9" i="3"/>
  <c r="CB9" i="3"/>
  <c r="CA9" i="3"/>
  <c r="BZ9" i="3"/>
  <c r="BY9" i="3"/>
  <c r="BX9" i="3"/>
  <c r="BW9" i="3"/>
  <c r="BV9" i="3"/>
  <c r="BU9" i="3"/>
  <c r="BT9" i="3"/>
  <c r="BS9" i="3"/>
  <c r="BR9" i="3"/>
  <c r="BQ9" i="3"/>
  <c r="BP9" i="3"/>
  <c r="BO9" i="3"/>
  <c r="BN9" i="3"/>
  <c r="BM9" i="3"/>
  <c r="BL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R9" i="3"/>
  <c r="AQ9" i="3"/>
  <c r="AP9" i="3"/>
  <c r="AO9" i="3"/>
  <c r="AN9" i="3"/>
  <c r="AM9" i="3"/>
  <c r="AL9" i="3"/>
  <c r="AK9" i="3"/>
  <c r="AI9" i="3"/>
  <c r="AH9" i="3"/>
  <c r="AG9" i="3"/>
  <c r="AF9" i="3"/>
  <c r="AE9" i="3"/>
  <c r="AD9" i="3"/>
  <c r="AC9" i="3"/>
  <c r="AB9" i="3"/>
  <c r="Z9" i="3"/>
  <c r="Y9" i="3"/>
  <c r="X9" i="3"/>
  <c r="W9" i="3"/>
  <c r="V9" i="3"/>
  <c r="U9" i="3"/>
  <c r="T9" i="3"/>
  <c r="S9" i="3"/>
  <c r="Q9" i="3"/>
  <c r="P9" i="3"/>
  <c r="O9" i="3"/>
  <c r="N9" i="3"/>
  <c r="M9" i="3"/>
  <c r="L9" i="3"/>
  <c r="K9" i="3"/>
  <c r="J9" i="3"/>
  <c r="H9" i="3"/>
  <c r="G9" i="3"/>
  <c r="F9" i="3"/>
  <c r="E9" i="3"/>
  <c r="D9" i="3"/>
  <c r="C9" i="3"/>
  <c r="B9" i="3"/>
  <c r="A9" i="3"/>
  <c r="GX8" i="3"/>
  <c r="GW8" i="3"/>
  <c r="GV8" i="3"/>
  <c r="GU8" i="3"/>
  <c r="GT8" i="3"/>
  <c r="GS8" i="3"/>
  <c r="GR8" i="3"/>
  <c r="GQ8" i="3"/>
  <c r="GO8" i="3"/>
  <c r="GN8" i="3"/>
  <c r="GM8" i="3"/>
  <c r="GL8" i="3"/>
  <c r="GK8" i="3"/>
  <c r="GJ8" i="3"/>
  <c r="GI8" i="3"/>
  <c r="GH8" i="3"/>
  <c r="GF8" i="3"/>
  <c r="GE8" i="3"/>
  <c r="GD8" i="3"/>
  <c r="GC8" i="3"/>
  <c r="GB8" i="3"/>
  <c r="GA8" i="3"/>
  <c r="FZ8" i="3"/>
  <c r="FY8" i="3"/>
  <c r="FW8" i="3"/>
  <c r="FV8" i="3"/>
  <c r="FU8" i="3"/>
  <c r="FT8" i="3"/>
  <c r="FS8" i="3"/>
  <c r="FR8" i="3"/>
  <c r="FQ8" i="3"/>
  <c r="FP8" i="3"/>
  <c r="FN8" i="3"/>
  <c r="FM8" i="3"/>
  <c r="FL8" i="3"/>
  <c r="FK8" i="3"/>
  <c r="FJ8" i="3"/>
  <c r="FI8" i="3"/>
  <c r="FH8" i="3"/>
  <c r="FG8" i="3"/>
  <c r="FE8" i="3"/>
  <c r="FD8" i="3"/>
  <c r="FC8" i="3"/>
  <c r="FB8" i="3"/>
  <c r="FA8" i="3"/>
  <c r="EZ8" i="3"/>
  <c r="EY8" i="3"/>
  <c r="EX8" i="3"/>
  <c r="EV8" i="3"/>
  <c r="EU8" i="3"/>
  <c r="ET8" i="3"/>
  <c r="ES8" i="3"/>
  <c r="ER8" i="3"/>
  <c r="EQ8" i="3"/>
  <c r="EP8" i="3"/>
  <c r="EO8" i="3"/>
  <c r="EM8" i="3"/>
  <c r="EL8" i="3"/>
  <c r="EK8" i="3"/>
  <c r="EJ8" i="3"/>
  <c r="EI8" i="3"/>
  <c r="EH8" i="3"/>
  <c r="EG8" i="3"/>
  <c r="EF8" i="3"/>
  <c r="EE8" i="3"/>
  <c r="ED8" i="3"/>
  <c r="EC8" i="3"/>
  <c r="EB8" i="3"/>
  <c r="EA8" i="3"/>
  <c r="DZ8" i="3"/>
  <c r="DY8" i="3"/>
  <c r="DX8" i="3"/>
  <c r="DW8" i="3"/>
  <c r="DU8" i="3"/>
  <c r="H12" i="4" s="1"/>
  <c r="H11" i="5" s="1"/>
  <c r="DT8" i="3"/>
  <c r="G12" i="4" s="1"/>
  <c r="G11" i="5" s="1"/>
  <c r="DS8" i="3"/>
  <c r="F12" i="4" s="1"/>
  <c r="F11" i="5" s="1"/>
  <c r="DR8" i="3"/>
  <c r="E12" i="4" s="1"/>
  <c r="E11" i="5" s="1"/>
  <c r="DQ8" i="3"/>
  <c r="D12" i="4" s="1"/>
  <c r="D11" i="5" s="1"/>
  <c r="DP8" i="3"/>
  <c r="C12" i="4" s="1"/>
  <c r="C11" i="5" s="1"/>
  <c r="DO8" i="3"/>
  <c r="B12" i="4" s="1"/>
  <c r="B11" i="5" s="1"/>
  <c r="DN8" i="3"/>
  <c r="A12" i="4" s="1"/>
  <c r="A11" i="5" s="1"/>
  <c r="DM8" i="3"/>
  <c r="DL8" i="3"/>
  <c r="DK8" i="3"/>
  <c r="DJ8" i="3"/>
  <c r="DI8" i="3"/>
  <c r="DH8" i="3"/>
  <c r="DG8" i="3"/>
  <c r="DF8" i="3"/>
  <c r="DE8" i="3"/>
  <c r="DC8" i="3"/>
  <c r="DB8" i="3"/>
  <c r="DA8" i="3"/>
  <c r="CZ8" i="3"/>
  <c r="CY8" i="3"/>
  <c r="CX8" i="3"/>
  <c r="CW8" i="3"/>
  <c r="CV8" i="3"/>
  <c r="CT8" i="3"/>
  <c r="CS8" i="3"/>
  <c r="CR8" i="3"/>
  <c r="CQ8" i="3"/>
  <c r="CP8" i="3"/>
  <c r="CO8" i="3"/>
  <c r="CN8" i="3"/>
  <c r="CM8" i="3"/>
  <c r="CK8" i="3"/>
  <c r="CJ8" i="3"/>
  <c r="CI8" i="3"/>
  <c r="CH8" i="3"/>
  <c r="CG8" i="3"/>
  <c r="CF8" i="3"/>
  <c r="CE8" i="3"/>
  <c r="CD8" i="3"/>
  <c r="CB8" i="3"/>
  <c r="CA8" i="3"/>
  <c r="BZ8" i="3"/>
  <c r="BY8" i="3"/>
  <c r="BX8" i="3"/>
  <c r="BW8" i="3"/>
  <c r="BV8" i="3"/>
  <c r="BU8" i="3"/>
  <c r="BS8" i="3"/>
  <c r="BR8" i="3"/>
  <c r="BQ8" i="3"/>
  <c r="BP8" i="3"/>
  <c r="BO8" i="3"/>
  <c r="BN8" i="3"/>
  <c r="BM8" i="3"/>
  <c r="BL8" i="3"/>
  <c r="BJ8" i="3"/>
  <c r="BI8" i="3"/>
  <c r="BH8" i="3"/>
  <c r="BG8" i="3"/>
  <c r="BF8" i="3"/>
  <c r="BE8" i="3"/>
  <c r="BD8" i="3"/>
  <c r="BC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Q8" i="3"/>
  <c r="P8" i="3"/>
  <c r="O8" i="3"/>
  <c r="N8" i="3"/>
  <c r="M8" i="3"/>
  <c r="L8" i="3"/>
  <c r="K8" i="3"/>
  <c r="J8" i="3"/>
  <c r="H8" i="3"/>
  <c r="G8" i="3"/>
  <c r="F8" i="3"/>
  <c r="E8" i="3"/>
  <c r="D8" i="3"/>
  <c r="C8" i="3"/>
  <c r="B8" i="3"/>
  <c r="A8" i="3"/>
  <c r="GX7" i="3"/>
  <c r="GW7" i="3"/>
  <c r="GV7" i="3"/>
  <c r="GU7" i="3"/>
  <c r="GT7" i="3"/>
  <c r="GS7" i="3"/>
  <c r="GR7" i="3"/>
  <c r="GQ7" i="3"/>
  <c r="GO7" i="3"/>
  <c r="GN7" i="3"/>
  <c r="GM7" i="3"/>
  <c r="GL7" i="3"/>
  <c r="GK7" i="3"/>
  <c r="GJ7" i="3"/>
  <c r="GI7" i="3"/>
  <c r="GH7" i="3"/>
  <c r="GF7" i="3"/>
  <c r="GE7" i="3"/>
  <c r="GD7" i="3"/>
  <c r="GC7" i="3"/>
  <c r="GB7" i="3"/>
  <c r="GA7" i="3"/>
  <c r="FZ7" i="3"/>
  <c r="FY7" i="3"/>
  <c r="FX7" i="3"/>
  <c r="FW7" i="3"/>
  <c r="FV7" i="3"/>
  <c r="FU7" i="3"/>
  <c r="FT7" i="3"/>
  <c r="FS7" i="3"/>
  <c r="FR7" i="3"/>
  <c r="FQ7" i="3"/>
  <c r="FP7" i="3"/>
  <c r="FN7" i="3"/>
  <c r="FM7" i="3"/>
  <c r="FL7" i="3"/>
  <c r="FK7" i="3"/>
  <c r="FJ7" i="3"/>
  <c r="FI7" i="3"/>
  <c r="FH7" i="3"/>
  <c r="FG7" i="3"/>
  <c r="FE7" i="3"/>
  <c r="FD7" i="3"/>
  <c r="FC7" i="3"/>
  <c r="FB7" i="3"/>
  <c r="FA7" i="3"/>
  <c r="EZ7" i="3"/>
  <c r="EY7" i="3"/>
  <c r="EX7" i="3"/>
  <c r="EV7" i="3"/>
  <c r="EU7" i="3"/>
  <c r="ET7" i="3"/>
  <c r="ES7" i="3"/>
  <c r="ER7" i="3"/>
  <c r="EQ7" i="3"/>
  <c r="EP7" i="3"/>
  <c r="EO7" i="3"/>
  <c r="EM7" i="3"/>
  <c r="EL7" i="3"/>
  <c r="EK7" i="3"/>
  <c r="EJ7" i="3"/>
  <c r="EI7" i="3"/>
  <c r="EH7" i="3"/>
  <c r="EG7" i="3"/>
  <c r="EF7" i="3"/>
  <c r="ED7" i="3"/>
  <c r="EC7" i="3"/>
  <c r="EB7" i="3"/>
  <c r="EA7" i="3"/>
  <c r="DZ7" i="3"/>
  <c r="DY7" i="3"/>
  <c r="DX7" i="3"/>
  <c r="DW7" i="3"/>
  <c r="DU7" i="3"/>
  <c r="H11" i="4" s="1"/>
  <c r="H10" i="5" s="1"/>
  <c r="DT7" i="3"/>
  <c r="G11" i="4" s="1"/>
  <c r="G10" i="5" s="1"/>
  <c r="DS7" i="3"/>
  <c r="F11" i="4" s="1"/>
  <c r="F10" i="5" s="1"/>
  <c r="DR7" i="3"/>
  <c r="E11" i="4" s="1"/>
  <c r="E10" i="5" s="1"/>
  <c r="DQ7" i="3"/>
  <c r="D11" i="4" s="1"/>
  <c r="D10" i="5" s="1"/>
  <c r="DP7" i="3"/>
  <c r="C11" i="4" s="1"/>
  <c r="C10" i="5" s="1"/>
  <c r="DO7" i="3"/>
  <c r="B11" i="4" s="1"/>
  <c r="B10" i="5" s="1"/>
  <c r="DN7" i="3"/>
  <c r="A11" i="4" s="1"/>
  <c r="A10" i="5" s="1"/>
  <c r="DL7" i="3"/>
  <c r="DK7" i="3"/>
  <c r="DJ7" i="3"/>
  <c r="DI7" i="3"/>
  <c r="DH7" i="3"/>
  <c r="DG7" i="3"/>
  <c r="DF7" i="3"/>
  <c r="DE7" i="3"/>
  <c r="DC7" i="3"/>
  <c r="DB7" i="3"/>
  <c r="DA7" i="3"/>
  <c r="CZ7" i="3"/>
  <c r="CY7" i="3"/>
  <c r="CX7" i="3"/>
  <c r="CW7" i="3"/>
  <c r="CV7" i="3"/>
  <c r="CT7" i="3"/>
  <c r="CS7" i="3"/>
  <c r="CR7" i="3"/>
  <c r="CQ7" i="3"/>
  <c r="CP7" i="3"/>
  <c r="CO7" i="3"/>
  <c r="CN7" i="3"/>
  <c r="CM7" i="3"/>
  <c r="CK7" i="3"/>
  <c r="CJ7" i="3"/>
  <c r="CI7" i="3"/>
  <c r="CH7" i="3"/>
  <c r="CG7" i="3"/>
  <c r="CF7" i="3"/>
  <c r="CE7" i="3"/>
  <c r="CD7" i="3"/>
  <c r="CB7" i="3"/>
  <c r="CA7" i="3"/>
  <c r="BZ7" i="3"/>
  <c r="BY7" i="3"/>
  <c r="BX7" i="3"/>
  <c r="BW7" i="3"/>
  <c r="BV7" i="3"/>
  <c r="BU7" i="3"/>
  <c r="BS7" i="3"/>
  <c r="BR7" i="3"/>
  <c r="BQ7" i="3"/>
  <c r="BP7" i="3"/>
  <c r="BO7" i="3"/>
  <c r="BN7" i="3"/>
  <c r="BM7" i="3"/>
  <c r="BL7" i="3"/>
  <c r="BJ7" i="3"/>
  <c r="BI7" i="3"/>
  <c r="BH7" i="3"/>
  <c r="BG7" i="3"/>
  <c r="BF7" i="3"/>
  <c r="BE7" i="3"/>
  <c r="BD7" i="3"/>
  <c r="BC7" i="3"/>
  <c r="BB7" i="3"/>
  <c r="BA7" i="3"/>
  <c r="AZ7" i="3"/>
  <c r="AY7" i="3"/>
  <c r="AX7" i="3"/>
  <c r="AW7" i="3"/>
  <c r="AV7" i="3"/>
  <c r="AU7" i="3"/>
  <c r="AT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Z7" i="3"/>
  <c r="Y7" i="3"/>
  <c r="X7" i="3"/>
  <c r="W7" i="3"/>
  <c r="V7" i="3"/>
  <c r="U7" i="3"/>
  <c r="T7" i="3"/>
  <c r="S7" i="3"/>
  <c r="Q7" i="3"/>
  <c r="P7" i="3"/>
  <c r="O7" i="3"/>
  <c r="N7" i="3"/>
  <c r="M7" i="3"/>
  <c r="L7" i="3"/>
  <c r="K7" i="3"/>
  <c r="J7" i="3"/>
  <c r="H7" i="3"/>
  <c r="G7" i="3"/>
  <c r="F7" i="3"/>
  <c r="E7" i="3"/>
  <c r="D7" i="3"/>
  <c r="C7" i="3"/>
  <c r="B7" i="3"/>
  <c r="A7" i="3"/>
  <c r="GX6" i="3"/>
  <c r="GW6" i="3"/>
  <c r="GV6" i="3"/>
  <c r="GU6" i="3"/>
  <c r="GT6" i="3"/>
  <c r="GS6" i="3"/>
  <c r="GR6" i="3"/>
  <c r="GQ6" i="3"/>
  <c r="GO6" i="3"/>
  <c r="GN6" i="3"/>
  <c r="GM6" i="3"/>
  <c r="GL6" i="3"/>
  <c r="GK6" i="3"/>
  <c r="GJ6" i="3"/>
  <c r="GI6" i="3"/>
  <c r="GH6" i="3"/>
  <c r="GF6" i="3"/>
  <c r="GE6" i="3"/>
  <c r="GD6" i="3"/>
  <c r="GC6" i="3"/>
  <c r="GB6" i="3"/>
  <c r="GA6" i="3"/>
  <c r="FZ6" i="3"/>
  <c r="FY6" i="3"/>
  <c r="FW6" i="3"/>
  <c r="FV6" i="3"/>
  <c r="FU6" i="3"/>
  <c r="FT6" i="3"/>
  <c r="FS6" i="3"/>
  <c r="FR6" i="3"/>
  <c r="FQ6" i="3"/>
  <c r="FP6" i="3"/>
  <c r="FO6" i="3"/>
  <c r="FN6" i="3"/>
  <c r="FM6" i="3"/>
  <c r="FL6" i="3"/>
  <c r="FK6" i="3"/>
  <c r="FJ6" i="3"/>
  <c r="FI6" i="3"/>
  <c r="FH6" i="3"/>
  <c r="FG6" i="3"/>
  <c r="FE6" i="3"/>
  <c r="FD6" i="3"/>
  <c r="FC6" i="3"/>
  <c r="FB6" i="3"/>
  <c r="FA6" i="3"/>
  <c r="EZ6" i="3"/>
  <c r="EY6" i="3"/>
  <c r="EX6" i="3"/>
  <c r="EW6" i="3"/>
  <c r="EV6" i="3"/>
  <c r="EU6" i="3"/>
  <c r="ET6" i="3"/>
  <c r="ES6" i="3"/>
  <c r="ER6" i="3"/>
  <c r="EQ6" i="3"/>
  <c r="EP6" i="3"/>
  <c r="EO6" i="3"/>
  <c r="EM6" i="3"/>
  <c r="EL6" i="3"/>
  <c r="EK6" i="3"/>
  <c r="EJ6" i="3"/>
  <c r="EI6" i="3"/>
  <c r="EH6" i="3"/>
  <c r="EG6" i="3"/>
  <c r="EF6" i="3"/>
  <c r="ED6" i="3"/>
  <c r="EC6" i="3"/>
  <c r="EB6" i="3"/>
  <c r="EA6" i="3"/>
  <c r="DZ6" i="3"/>
  <c r="DY6" i="3"/>
  <c r="DX6" i="3"/>
  <c r="DW6" i="3"/>
  <c r="DU6" i="3"/>
  <c r="H10" i="4" s="1"/>
  <c r="H9" i="5" s="1"/>
  <c r="DT6" i="3"/>
  <c r="G10" i="4" s="1"/>
  <c r="G9" i="5" s="1"/>
  <c r="DS6" i="3"/>
  <c r="F10" i="4" s="1"/>
  <c r="F9" i="5" s="1"/>
  <c r="DR6" i="3"/>
  <c r="E10" i="4" s="1"/>
  <c r="E9" i="5" s="1"/>
  <c r="DQ6" i="3"/>
  <c r="D10" i="4" s="1"/>
  <c r="D9" i="5" s="1"/>
  <c r="DP6" i="3"/>
  <c r="DO6" i="3"/>
  <c r="B10" i="4" s="1"/>
  <c r="B9" i="5" s="1"/>
  <c r="DN6" i="3"/>
  <c r="A10" i="4" s="1"/>
  <c r="A9" i="5" s="1"/>
  <c r="DM6" i="3"/>
  <c r="DL6" i="3"/>
  <c r="DK6" i="3"/>
  <c r="DJ6" i="3"/>
  <c r="DI6" i="3"/>
  <c r="DH6" i="3"/>
  <c r="DG6" i="3"/>
  <c r="DF6" i="3"/>
  <c r="DE6" i="3"/>
  <c r="DC6" i="3"/>
  <c r="DB6" i="3"/>
  <c r="DA6" i="3"/>
  <c r="CZ6" i="3"/>
  <c r="CY6" i="3"/>
  <c r="CX6" i="3"/>
  <c r="CW6" i="3"/>
  <c r="CV6" i="3"/>
  <c r="CT6" i="3"/>
  <c r="CS6" i="3"/>
  <c r="CR6" i="3"/>
  <c r="CQ6" i="3"/>
  <c r="CP6" i="3"/>
  <c r="CO6" i="3"/>
  <c r="CN6" i="3"/>
  <c r="CM6" i="3"/>
  <c r="CK6" i="3"/>
  <c r="CJ6" i="3"/>
  <c r="CI6" i="3"/>
  <c r="CH6" i="3"/>
  <c r="CG6" i="3"/>
  <c r="CF6" i="3"/>
  <c r="CE6" i="3"/>
  <c r="CD6" i="3"/>
  <c r="CB6" i="3"/>
  <c r="CA6" i="3"/>
  <c r="BZ6" i="3"/>
  <c r="BY6" i="3"/>
  <c r="BX6" i="3"/>
  <c r="BW6" i="3"/>
  <c r="BV6" i="3"/>
  <c r="BU6" i="3"/>
  <c r="BS6" i="3"/>
  <c r="BR6" i="3"/>
  <c r="BQ6" i="3"/>
  <c r="BP6" i="3"/>
  <c r="BO6" i="3"/>
  <c r="BN6" i="3"/>
  <c r="BM6" i="3"/>
  <c r="BL6" i="3"/>
  <c r="BJ6" i="3"/>
  <c r="BI6" i="3"/>
  <c r="BH6" i="3"/>
  <c r="BG6" i="3"/>
  <c r="BF6" i="3"/>
  <c r="BE6" i="3"/>
  <c r="BD6" i="3"/>
  <c r="BC6" i="3"/>
  <c r="BA6" i="3"/>
  <c r="AZ6" i="3"/>
  <c r="AY6" i="3"/>
  <c r="AX6" i="3"/>
  <c r="AW6" i="3"/>
  <c r="AV6" i="3"/>
  <c r="AU6" i="3"/>
  <c r="AT6" i="3"/>
  <c r="AR6" i="3"/>
  <c r="AQ6" i="3"/>
  <c r="AP6" i="3"/>
  <c r="AO6" i="3"/>
  <c r="AN6" i="3"/>
  <c r="AM6" i="3"/>
  <c r="AL6" i="3"/>
  <c r="AK6" i="3"/>
  <c r="AI6" i="3"/>
  <c r="AH6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Q6" i="3"/>
  <c r="P6" i="3"/>
  <c r="O6" i="3"/>
  <c r="N6" i="3"/>
  <c r="M6" i="3"/>
  <c r="L6" i="3"/>
  <c r="K6" i="3"/>
  <c r="J6" i="3"/>
  <c r="H6" i="3"/>
  <c r="G6" i="3"/>
  <c r="F6" i="3"/>
  <c r="E6" i="3"/>
  <c r="D6" i="3"/>
  <c r="C6" i="3"/>
  <c r="B6" i="3"/>
  <c r="A6" i="3"/>
  <c r="GX5" i="3"/>
  <c r="GW5" i="3"/>
  <c r="GV5" i="3"/>
  <c r="GU5" i="3"/>
  <c r="GT5" i="3"/>
  <c r="GS5" i="3"/>
  <c r="GR5" i="3"/>
  <c r="GQ5" i="3"/>
  <c r="GO5" i="3"/>
  <c r="GN5" i="3"/>
  <c r="GM5" i="3"/>
  <c r="GL5" i="3"/>
  <c r="GK5" i="3"/>
  <c r="GJ5" i="3"/>
  <c r="GI5" i="3"/>
  <c r="GH5" i="3"/>
  <c r="GF5" i="3"/>
  <c r="GE5" i="3"/>
  <c r="GD5" i="3"/>
  <c r="GC5" i="3"/>
  <c r="GB5" i="3"/>
  <c r="GA5" i="3"/>
  <c r="FZ5" i="3"/>
  <c r="FY5" i="3"/>
  <c r="FX5" i="3"/>
  <c r="FW5" i="3"/>
  <c r="FV5" i="3"/>
  <c r="FU5" i="3"/>
  <c r="FT5" i="3"/>
  <c r="FS5" i="3"/>
  <c r="FR5" i="3"/>
  <c r="FQ5" i="3"/>
  <c r="FP5" i="3"/>
  <c r="FN5" i="3"/>
  <c r="FM5" i="3"/>
  <c r="FL5" i="3"/>
  <c r="FK5" i="3"/>
  <c r="FJ5" i="3"/>
  <c r="FI5" i="3"/>
  <c r="FH5" i="3"/>
  <c r="FG5" i="3"/>
  <c r="FF5" i="3"/>
  <c r="FE5" i="3"/>
  <c r="FD5" i="3"/>
  <c r="FC5" i="3"/>
  <c r="FB5" i="3"/>
  <c r="FA5" i="3"/>
  <c r="EZ5" i="3"/>
  <c r="EY5" i="3"/>
  <c r="EX5" i="3"/>
  <c r="EV5" i="3"/>
  <c r="EU5" i="3"/>
  <c r="ET5" i="3"/>
  <c r="ES5" i="3"/>
  <c r="ER5" i="3"/>
  <c r="EQ5" i="3"/>
  <c r="EP5" i="3"/>
  <c r="EO5" i="3"/>
  <c r="EM5" i="3"/>
  <c r="EL5" i="3"/>
  <c r="EK5" i="3"/>
  <c r="EJ5" i="3"/>
  <c r="EI5" i="3"/>
  <c r="EH5" i="3"/>
  <c r="EG5" i="3"/>
  <c r="EF5" i="3"/>
  <c r="ED5" i="3"/>
  <c r="EC5" i="3"/>
  <c r="EB5" i="3"/>
  <c r="EA5" i="3"/>
  <c r="DZ5" i="3"/>
  <c r="DY5" i="3"/>
  <c r="DX5" i="3"/>
  <c r="DW5" i="3"/>
  <c r="DU5" i="3"/>
  <c r="H9" i="4" s="1"/>
  <c r="H8" i="5" s="1"/>
  <c r="DT5" i="3"/>
  <c r="G9" i="4" s="1"/>
  <c r="G8" i="5" s="1"/>
  <c r="DS5" i="3"/>
  <c r="F9" i="4" s="1"/>
  <c r="F8" i="5" s="1"/>
  <c r="DR5" i="3"/>
  <c r="E9" i="4" s="1"/>
  <c r="E8" i="5" s="1"/>
  <c r="DQ5" i="3"/>
  <c r="D9" i="4" s="1"/>
  <c r="D8" i="5" s="1"/>
  <c r="DP5" i="3"/>
  <c r="C9" i="4" s="1"/>
  <c r="C8" i="5" s="1"/>
  <c r="DO5" i="3"/>
  <c r="B9" i="4" s="1"/>
  <c r="B8" i="5" s="1"/>
  <c r="DN5" i="3"/>
  <c r="A9" i="4" s="1"/>
  <c r="A8" i="5" s="1"/>
  <c r="DL5" i="3"/>
  <c r="DK5" i="3"/>
  <c r="DJ5" i="3"/>
  <c r="DI5" i="3"/>
  <c r="DH5" i="3"/>
  <c r="DG5" i="3"/>
  <c r="DF5" i="3"/>
  <c r="DE5" i="3"/>
  <c r="DD5" i="3"/>
  <c r="DC5" i="3"/>
  <c r="DB5" i="3"/>
  <c r="DA5" i="3"/>
  <c r="CZ5" i="3"/>
  <c r="CY5" i="3"/>
  <c r="CX5" i="3"/>
  <c r="CW5" i="3"/>
  <c r="CV5" i="3"/>
  <c r="CU5" i="3"/>
  <c r="CT5" i="3"/>
  <c r="CS5" i="3"/>
  <c r="CR5" i="3"/>
  <c r="CQ5" i="3"/>
  <c r="CP5" i="3"/>
  <c r="CO5" i="3"/>
  <c r="CN5" i="3"/>
  <c r="CM5" i="3"/>
  <c r="CL5" i="3"/>
  <c r="CK5" i="3"/>
  <c r="CJ5" i="3"/>
  <c r="CI5" i="3"/>
  <c r="CH5" i="3"/>
  <c r="CG5" i="3"/>
  <c r="CF5" i="3"/>
  <c r="CE5" i="3"/>
  <c r="CD5" i="3"/>
  <c r="CB5" i="3"/>
  <c r="CA5" i="3"/>
  <c r="BZ5" i="3"/>
  <c r="BY5" i="3"/>
  <c r="BX5" i="3"/>
  <c r="BW5" i="3"/>
  <c r="BV5" i="3"/>
  <c r="BU5" i="3"/>
  <c r="BS5" i="3"/>
  <c r="BR5" i="3"/>
  <c r="BQ5" i="3"/>
  <c r="BP5" i="3"/>
  <c r="BO5" i="3"/>
  <c r="BN5" i="3"/>
  <c r="BM5" i="3"/>
  <c r="BL5" i="3"/>
  <c r="BJ5" i="3"/>
  <c r="BI5" i="3"/>
  <c r="BH5" i="3"/>
  <c r="BG5" i="3"/>
  <c r="BF5" i="3"/>
  <c r="BE5" i="3"/>
  <c r="BD5" i="3"/>
  <c r="BC5" i="3"/>
  <c r="BA5" i="3"/>
  <c r="AZ5" i="3"/>
  <c r="AY5" i="3"/>
  <c r="AX5" i="3"/>
  <c r="AW5" i="3"/>
  <c r="AV5" i="3"/>
  <c r="AU5" i="3"/>
  <c r="AT5" i="3"/>
  <c r="AR5" i="3"/>
  <c r="AQ5" i="3"/>
  <c r="AP5" i="3"/>
  <c r="AO5" i="3"/>
  <c r="AN5" i="3"/>
  <c r="AM5" i="3"/>
  <c r="AL5" i="3"/>
  <c r="AK5" i="3"/>
  <c r="AJ5" i="3"/>
  <c r="AI5" i="3"/>
  <c r="AH5" i="3"/>
  <c r="AG5" i="3"/>
  <c r="AF5" i="3"/>
  <c r="AE5" i="3"/>
  <c r="AD5" i="3"/>
  <c r="AC5" i="3"/>
  <c r="AB5" i="3"/>
  <c r="Z5" i="3"/>
  <c r="Y5" i="3"/>
  <c r="X5" i="3"/>
  <c r="W5" i="3"/>
  <c r="V5" i="3"/>
  <c r="U5" i="3"/>
  <c r="T5" i="3"/>
  <c r="S5" i="3"/>
  <c r="Q5" i="3"/>
  <c r="P5" i="3"/>
  <c r="O5" i="3"/>
  <c r="N5" i="3"/>
  <c r="M5" i="3"/>
  <c r="L5" i="3"/>
  <c r="K5" i="3"/>
  <c r="J5" i="3"/>
  <c r="H5" i="3"/>
  <c r="G5" i="3"/>
  <c r="F5" i="3"/>
  <c r="E5" i="3"/>
  <c r="D5" i="3"/>
  <c r="C5" i="3"/>
  <c r="B5" i="3"/>
  <c r="A5" i="3"/>
  <c r="GX4" i="3"/>
  <c r="GW4" i="3"/>
  <c r="GV4" i="3"/>
  <c r="GU4" i="3"/>
  <c r="GT4" i="3"/>
  <c r="GS4" i="3"/>
  <c r="GR4" i="3"/>
  <c r="GQ4" i="3"/>
  <c r="GO4" i="3"/>
  <c r="GN4" i="3"/>
  <c r="GM4" i="3"/>
  <c r="GL4" i="3"/>
  <c r="GK4" i="3"/>
  <c r="GJ4" i="3"/>
  <c r="GI4" i="3"/>
  <c r="GH4" i="3"/>
  <c r="GF4" i="3"/>
  <c r="GE4" i="3"/>
  <c r="GD4" i="3"/>
  <c r="GC4" i="3"/>
  <c r="GB4" i="3"/>
  <c r="GA4" i="3"/>
  <c r="FZ4" i="3"/>
  <c r="FY4" i="3"/>
  <c r="FW4" i="3"/>
  <c r="FV4" i="3"/>
  <c r="FU4" i="3"/>
  <c r="FT4" i="3"/>
  <c r="FS4" i="3"/>
  <c r="FR4" i="3"/>
  <c r="FQ4" i="3"/>
  <c r="FP4" i="3"/>
  <c r="FO4" i="3"/>
  <c r="FN4" i="3"/>
  <c r="FM4" i="3"/>
  <c r="FL4" i="3"/>
  <c r="FK4" i="3"/>
  <c r="FJ4" i="3"/>
  <c r="FI4" i="3"/>
  <c r="FH4" i="3"/>
  <c r="FG4" i="3"/>
  <c r="FE4" i="3"/>
  <c r="FD4" i="3"/>
  <c r="FC4" i="3"/>
  <c r="FB4" i="3"/>
  <c r="FA4" i="3"/>
  <c r="EZ4" i="3"/>
  <c r="EY4" i="3"/>
  <c r="EX4" i="3"/>
  <c r="EW4" i="3"/>
  <c r="EV4" i="3"/>
  <c r="EU4" i="3"/>
  <c r="ET4" i="3"/>
  <c r="ES4" i="3"/>
  <c r="ER4" i="3"/>
  <c r="EQ4" i="3"/>
  <c r="EP4" i="3"/>
  <c r="EO4" i="3"/>
  <c r="EM4" i="3"/>
  <c r="EL4" i="3"/>
  <c r="EK4" i="3"/>
  <c r="EJ4" i="3"/>
  <c r="EI4" i="3"/>
  <c r="EH4" i="3"/>
  <c r="EG4" i="3"/>
  <c r="EF4" i="3"/>
  <c r="EE4" i="3"/>
  <c r="ED4" i="3"/>
  <c r="EC4" i="3"/>
  <c r="EB4" i="3"/>
  <c r="EA4" i="3"/>
  <c r="DZ4" i="3"/>
  <c r="DY4" i="3"/>
  <c r="DX4" i="3"/>
  <c r="DW4" i="3"/>
  <c r="DU4" i="3"/>
  <c r="H8" i="4" s="1"/>
  <c r="H7" i="5" s="1"/>
  <c r="DT4" i="3"/>
  <c r="G8" i="4" s="1"/>
  <c r="G7" i="5" s="1"/>
  <c r="DS4" i="3"/>
  <c r="DR4" i="3"/>
  <c r="E8" i="4" s="1"/>
  <c r="E7" i="5" s="1"/>
  <c r="DQ4" i="3"/>
  <c r="D8" i="4" s="1"/>
  <c r="D7" i="5" s="1"/>
  <c r="DP4" i="3"/>
  <c r="C8" i="4" s="1"/>
  <c r="C7" i="5" s="1"/>
  <c r="DO4" i="3"/>
  <c r="B8" i="4" s="1"/>
  <c r="B7" i="5" s="1"/>
  <c r="DN4" i="3"/>
  <c r="A8" i="4" s="1"/>
  <c r="A7" i="5" s="1"/>
  <c r="DL4" i="3"/>
  <c r="DK4" i="3"/>
  <c r="DJ4" i="3"/>
  <c r="DI4" i="3"/>
  <c r="DH4" i="3"/>
  <c r="DG4" i="3"/>
  <c r="DF4" i="3"/>
  <c r="DE4" i="3"/>
  <c r="DD4" i="3"/>
  <c r="DC4" i="3"/>
  <c r="DB4" i="3"/>
  <c r="DA4" i="3"/>
  <c r="CZ4" i="3"/>
  <c r="CY4" i="3"/>
  <c r="CX4" i="3"/>
  <c r="CW4" i="3"/>
  <c r="CV4" i="3"/>
  <c r="CU4" i="3"/>
  <c r="CT4" i="3"/>
  <c r="CS4" i="3"/>
  <c r="CR4" i="3"/>
  <c r="CQ4" i="3"/>
  <c r="CP4" i="3"/>
  <c r="CO4" i="3"/>
  <c r="CN4" i="3"/>
  <c r="CM4" i="3"/>
  <c r="CL4" i="3"/>
  <c r="CK4" i="3"/>
  <c r="CJ4" i="3"/>
  <c r="CI4" i="3"/>
  <c r="CH4" i="3"/>
  <c r="CG4" i="3"/>
  <c r="CF4" i="3"/>
  <c r="CE4" i="3"/>
  <c r="CD4" i="3"/>
  <c r="CC4" i="3"/>
  <c r="CB4" i="3"/>
  <c r="CA4" i="3"/>
  <c r="BZ4" i="3"/>
  <c r="BY4" i="3"/>
  <c r="BX4" i="3"/>
  <c r="BW4" i="3"/>
  <c r="BV4" i="3"/>
  <c r="BU4" i="3"/>
  <c r="BS4" i="3"/>
  <c r="BR4" i="3"/>
  <c r="BQ4" i="3"/>
  <c r="BP4" i="3"/>
  <c r="BO4" i="3"/>
  <c r="BN4" i="3"/>
  <c r="BM4" i="3"/>
  <c r="BL4" i="3"/>
  <c r="BJ4" i="3"/>
  <c r="BI4" i="3"/>
  <c r="BH4" i="3"/>
  <c r="BG4" i="3"/>
  <c r="BF4" i="3"/>
  <c r="BE4" i="3"/>
  <c r="BD4" i="3"/>
  <c r="BC4" i="3"/>
  <c r="BA4" i="3"/>
  <c r="AZ4" i="3"/>
  <c r="AY4" i="3"/>
  <c r="AX4" i="3"/>
  <c r="AW4" i="3"/>
  <c r="AV4" i="3"/>
  <c r="AU4" i="3"/>
  <c r="AT4" i="3"/>
  <c r="AR4" i="3"/>
  <c r="AQ4" i="3"/>
  <c r="AP4" i="3"/>
  <c r="AO4" i="3"/>
  <c r="AN4" i="3"/>
  <c r="AM4" i="3"/>
  <c r="AL4" i="3"/>
  <c r="AK4" i="3"/>
  <c r="AI4" i="3"/>
  <c r="AH4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4" i="3"/>
  <c r="A4" i="3"/>
  <c r="GX3" i="3"/>
  <c r="GW3" i="3"/>
  <c r="GV3" i="3"/>
  <c r="GU3" i="3"/>
  <c r="GT3" i="3"/>
  <c r="GS3" i="3"/>
  <c r="GR3" i="3"/>
  <c r="GQ3" i="3"/>
  <c r="GP3" i="3"/>
  <c r="GO3" i="3"/>
  <c r="GN3" i="3"/>
  <c r="GM3" i="3"/>
  <c r="GL3" i="3"/>
  <c r="GK3" i="3"/>
  <c r="GJ3" i="3"/>
  <c r="GI3" i="3"/>
  <c r="GH3" i="3"/>
  <c r="GF3" i="3"/>
  <c r="GE3" i="3"/>
  <c r="GD3" i="3"/>
  <c r="GC3" i="3"/>
  <c r="GB3" i="3"/>
  <c r="GA3" i="3"/>
  <c r="FZ3" i="3"/>
  <c r="FY3" i="3"/>
  <c r="FW3" i="3"/>
  <c r="FV3" i="3"/>
  <c r="FU3" i="3"/>
  <c r="FT3" i="3"/>
  <c r="FS3" i="3"/>
  <c r="FR3" i="3"/>
  <c r="FQ3" i="3"/>
  <c r="FP3" i="3"/>
  <c r="FN3" i="3"/>
  <c r="FM3" i="3"/>
  <c r="FL3" i="3"/>
  <c r="FK3" i="3"/>
  <c r="FJ3" i="3"/>
  <c r="FI3" i="3"/>
  <c r="FH3" i="3"/>
  <c r="FG3" i="3"/>
  <c r="FF3" i="3"/>
  <c r="FE3" i="3"/>
  <c r="FD3" i="3"/>
  <c r="FC3" i="3"/>
  <c r="FB3" i="3"/>
  <c r="FA3" i="3"/>
  <c r="EZ3" i="3"/>
  <c r="EY3" i="3"/>
  <c r="EX3" i="3"/>
  <c r="EV3" i="3"/>
  <c r="EU3" i="3"/>
  <c r="ET3" i="3"/>
  <c r="ES3" i="3"/>
  <c r="ER3" i="3"/>
  <c r="EQ3" i="3"/>
  <c r="EP3" i="3"/>
  <c r="EO3" i="3"/>
  <c r="EN3" i="3"/>
  <c r="EM3" i="3"/>
  <c r="EL3" i="3"/>
  <c r="EK3" i="3"/>
  <c r="EJ3" i="3"/>
  <c r="EI3" i="3"/>
  <c r="EH3" i="3"/>
  <c r="EG3" i="3"/>
  <c r="EF3" i="3"/>
  <c r="ED3" i="3"/>
  <c r="EC3" i="3"/>
  <c r="EB3" i="3"/>
  <c r="EA3" i="3"/>
  <c r="DZ3" i="3"/>
  <c r="DY3" i="3"/>
  <c r="DX3" i="3"/>
  <c r="DW3" i="3"/>
  <c r="DU3" i="3"/>
  <c r="H7" i="4" s="1"/>
  <c r="H6" i="5" s="1"/>
  <c r="DT3" i="3"/>
  <c r="G7" i="4" s="1"/>
  <c r="G6" i="5" s="1"/>
  <c r="DS3" i="3"/>
  <c r="F7" i="4" s="1"/>
  <c r="F6" i="5" s="1"/>
  <c r="DR3" i="3"/>
  <c r="E7" i="4" s="1"/>
  <c r="E6" i="5" s="1"/>
  <c r="DQ3" i="3"/>
  <c r="D7" i="4" s="1"/>
  <c r="D6" i="5" s="1"/>
  <c r="DP3" i="3"/>
  <c r="C7" i="4" s="1"/>
  <c r="C6" i="5" s="1"/>
  <c r="DO3" i="3"/>
  <c r="B7" i="4" s="1"/>
  <c r="B6" i="5" s="1"/>
  <c r="DN3" i="3"/>
  <c r="A7" i="4" s="1"/>
  <c r="A6" i="5" s="1"/>
  <c r="DL3" i="3"/>
  <c r="DK3" i="3"/>
  <c r="DJ3" i="3"/>
  <c r="DI3" i="3"/>
  <c r="DH3" i="3"/>
  <c r="DG3" i="3"/>
  <c r="DF3" i="3"/>
  <c r="DE3" i="3"/>
  <c r="DC3" i="3"/>
  <c r="DB3" i="3"/>
  <c r="DA3" i="3"/>
  <c r="CZ3" i="3"/>
  <c r="CY3" i="3"/>
  <c r="CX3" i="3"/>
  <c r="CW3" i="3"/>
  <c r="CV3" i="3"/>
  <c r="CT3" i="3"/>
  <c r="CS3" i="3"/>
  <c r="CR3" i="3"/>
  <c r="CQ3" i="3"/>
  <c r="CP3" i="3"/>
  <c r="CO3" i="3"/>
  <c r="CN3" i="3"/>
  <c r="CM3" i="3"/>
  <c r="CK3" i="3"/>
  <c r="CJ3" i="3"/>
  <c r="CI3" i="3"/>
  <c r="CH3" i="3"/>
  <c r="CG3" i="3"/>
  <c r="CF3" i="3"/>
  <c r="CE3" i="3"/>
  <c r="CD3" i="3"/>
  <c r="CC3" i="3"/>
  <c r="CB3" i="3"/>
  <c r="CA3" i="3"/>
  <c r="BZ3" i="3"/>
  <c r="BY3" i="3"/>
  <c r="BX3" i="3"/>
  <c r="BW3" i="3"/>
  <c r="BV3" i="3"/>
  <c r="BU3" i="3"/>
  <c r="BT3" i="3"/>
  <c r="BS3" i="3"/>
  <c r="BR3" i="3"/>
  <c r="BQ3" i="3"/>
  <c r="BP3" i="3"/>
  <c r="BO3" i="3"/>
  <c r="BN3" i="3"/>
  <c r="BM3" i="3"/>
  <c r="BL3" i="3"/>
  <c r="BJ3" i="3"/>
  <c r="BI3" i="3"/>
  <c r="BH3" i="3"/>
  <c r="BG3" i="3"/>
  <c r="BF3" i="3"/>
  <c r="BE3" i="3"/>
  <c r="BD3" i="3"/>
  <c r="BC3" i="3"/>
  <c r="BA3" i="3"/>
  <c r="AZ3" i="3"/>
  <c r="AY3" i="3"/>
  <c r="AX3" i="3"/>
  <c r="AW3" i="3"/>
  <c r="AV3" i="3"/>
  <c r="AU3" i="3"/>
  <c r="AT3" i="3"/>
  <c r="AR3" i="3"/>
  <c r="AQ3" i="3"/>
  <c r="AP3" i="3"/>
  <c r="AO3" i="3"/>
  <c r="AN3" i="3"/>
  <c r="AM3" i="3"/>
  <c r="AL3" i="3"/>
  <c r="AK3" i="3"/>
  <c r="AI3" i="3"/>
  <c r="AH3" i="3"/>
  <c r="AG3" i="3"/>
  <c r="AF3" i="3"/>
  <c r="AE3" i="3"/>
  <c r="AD3" i="3"/>
  <c r="AC3" i="3"/>
  <c r="AB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H3" i="3"/>
  <c r="G3" i="3"/>
  <c r="F3" i="3"/>
  <c r="E3" i="3"/>
  <c r="D3" i="3"/>
  <c r="C3" i="3"/>
  <c r="B3" i="3"/>
  <c r="A3" i="3"/>
  <c r="J430" i="2"/>
  <c r="AA20" i="3" s="1"/>
  <c r="J429" i="2"/>
  <c r="I30" i="3" s="1"/>
  <c r="J428" i="2"/>
  <c r="BT28" i="3" s="1"/>
  <c r="J427" i="2"/>
  <c r="AA19" i="3" s="1"/>
  <c r="J426" i="2"/>
  <c r="I29" i="3" s="1"/>
  <c r="J425" i="2"/>
  <c r="BT27" i="3" s="1"/>
  <c r="J424" i="2"/>
  <c r="R22" i="3" s="1"/>
  <c r="J423" i="2"/>
  <c r="I28" i="3" s="1"/>
  <c r="J422" i="2"/>
  <c r="FX30" i="3" s="1"/>
  <c r="J421" i="2"/>
  <c r="J420" i="2"/>
  <c r="I27" i="3" s="1"/>
  <c r="J419" i="2"/>
  <c r="FX29" i="3" s="1"/>
  <c r="J418" i="2"/>
  <c r="EN19" i="3" s="1"/>
  <c r="J417" i="2"/>
  <c r="AS22" i="3" s="1"/>
  <c r="J416" i="2"/>
  <c r="AJ22" i="3" s="1"/>
  <c r="J415" i="2"/>
  <c r="AA18" i="3" s="1"/>
  <c r="J414" i="2"/>
  <c r="DV26" i="3" s="1"/>
  <c r="I30" i="4" s="1"/>
  <c r="I29" i="5" s="1"/>
  <c r="J413" i="2"/>
  <c r="DM28" i="3" s="1"/>
  <c r="J412" i="2"/>
  <c r="J411" i="2"/>
  <c r="BT26" i="3" s="1"/>
  <c r="J410" i="2"/>
  <c r="AS21" i="3" s="1"/>
  <c r="J409" i="2"/>
  <c r="AJ21" i="3" s="1"/>
  <c r="J408" i="2"/>
  <c r="J407" i="2"/>
  <c r="DV25" i="3" s="1"/>
  <c r="I29" i="4" s="1"/>
  <c r="I28" i="5" s="1"/>
  <c r="J406" i="2"/>
  <c r="DM27" i="3" s="1"/>
  <c r="J405" i="2"/>
  <c r="J404" i="2"/>
  <c r="GG15" i="3" s="1"/>
  <c r="J403" i="2"/>
  <c r="GY11" i="3" s="1"/>
  <c r="J402" i="2"/>
  <c r="FO11" i="3" s="1"/>
  <c r="J401" i="2"/>
  <c r="BT25" i="3" s="1"/>
  <c r="J400" i="2"/>
  <c r="CU24" i="3" s="1"/>
  <c r="J399" i="2"/>
  <c r="CL24" i="3" s="1"/>
  <c r="J398" i="2"/>
  <c r="R20" i="3" s="1"/>
  <c r="J397" i="2"/>
  <c r="FX28" i="3" s="1"/>
  <c r="J396" i="2"/>
  <c r="EN18" i="3" s="1"/>
  <c r="J395" i="2"/>
  <c r="CU23" i="3" s="1"/>
  <c r="J394" i="2"/>
  <c r="CL23" i="3" s="1"/>
  <c r="J393" i="2"/>
  <c r="R19" i="3" s="1"/>
  <c r="J392" i="2"/>
  <c r="J391" i="2"/>
  <c r="GP15" i="3" s="1"/>
  <c r="J390" i="2"/>
  <c r="FF14" i="3" s="1"/>
  <c r="J389" i="2"/>
  <c r="J388" i="2"/>
  <c r="AJ20" i="3" s="1"/>
  <c r="J387" i="2"/>
  <c r="DV24" i="3" s="1"/>
  <c r="I28" i="4" s="1"/>
  <c r="I27" i="5" s="1"/>
  <c r="J386" i="2"/>
  <c r="DM26" i="3" s="1"/>
  <c r="J385" i="2"/>
  <c r="J384" i="2"/>
  <c r="CC24" i="3" s="1"/>
  <c r="J383" i="2"/>
  <c r="BT24" i="3" s="1"/>
  <c r="J382" i="2"/>
  <c r="BK24" i="3" s="1"/>
  <c r="J381" i="2"/>
  <c r="AS19" i="3" s="1"/>
  <c r="J380" i="2"/>
  <c r="AJ19" i="3" s="1"/>
  <c r="J379" i="2"/>
  <c r="DV23" i="3" s="1"/>
  <c r="I27" i="4" s="1"/>
  <c r="I26" i="5" s="1"/>
  <c r="J378" i="2"/>
  <c r="DM25" i="3" s="1"/>
  <c r="J377" i="2"/>
  <c r="I23" i="3" s="1"/>
  <c r="J376" i="2"/>
  <c r="GG14" i="3" s="1"/>
  <c r="J375" i="2"/>
  <c r="J374" i="2"/>
  <c r="EW13" i="3" s="1"/>
  <c r="J373" i="2"/>
  <c r="FO10" i="3" s="1"/>
  <c r="J372" i="2"/>
  <c r="CC23" i="3" s="1"/>
  <c r="J371" i="2"/>
  <c r="BT23" i="3" s="1"/>
  <c r="J370" i="2"/>
  <c r="BK23" i="3" s="1"/>
  <c r="J369" i="2"/>
  <c r="DM24" i="3" s="1"/>
  <c r="J368" i="2"/>
  <c r="DD20" i="3" s="1"/>
  <c r="J367" i="2"/>
  <c r="CU22" i="3" s="1"/>
  <c r="J366" i="2"/>
  <c r="CL22" i="3" s="1"/>
  <c r="J365" i="2"/>
  <c r="J364" i="2"/>
  <c r="FX26" i="3" s="1"/>
  <c r="J363" i="2"/>
  <c r="GP14" i="3" s="1"/>
  <c r="J362" i="2"/>
  <c r="DD19" i="3" s="1"/>
  <c r="J361" i="2"/>
  <c r="CU21" i="3" s="1"/>
  <c r="J360" i="2"/>
  <c r="J359" i="2"/>
  <c r="FX25" i="3" s="1"/>
  <c r="J358" i="2"/>
  <c r="GP13" i="3" s="1"/>
  <c r="J357" i="2"/>
  <c r="EN17" i="3" s="1"/>
  <c r="J356" i="2"/>
  <c r="FF13" i="3" s="1"/>
  <c r="J355" i="2"/>
  <c r="J354" i="2"/>
  <c r="AS18" i="3" s="1"/>
  <c r="J353" i="2"/>
  <c r="J352" i="2"/>
  <c r="DV21" i="3" s="1"/>
  <c r="I25" i="4" s="1"/>
  <c r="I24" i="5" s="1"/>
  <c r="J351" i="2"/>
  <c r="DM23" i="3" s="1"/>
  <c r="J350" i="2"/>
  <c r="I22" i="3" s="1"/>
  <c r="J349" i="2"/>
  <c r="J348" i="2"/>
  <c r="CC22" i="3" s="1"/>
  <c r="J347" i="2"/>
  <c r="BK22" i="3" s="1"/>
  <c r="J346" i="2"/>
  <c r="J345" i="2"/>
  <c r="DM22" i="3" s="1"/>
  <c r="J344" i="2"/>
  <c r="I21" i="3" s="1"/>
  <c r="J343" i="2"/>
  <c r="GG12" i="3" s="1"/>
  <c r="J342" i="2"/>
  <c r="EW12" i="3" s="1"/>
  <c r="J341" i="2"/>
  <c r="CC21" i="3" s="1"/>
  <c r="J340" i="2"/>
  <c r="BK21" i="3" s="1"/>
  <c r="J339" i="2"/>
  <c r="CL20" i="3" s="1"/>
  <c r="J338" i="2"/>
  <c r="R17" i="3" s="1"/>
  <c r="J337" i="2"/>
  <c r="FX24" i="3" s="1"/>
  <c r="J336" i="2"/>
  <c r="EN16" i="3" s="1"/>
  <c r="J335" i="2"/>
  <c r="BT22" i="3" s="1"/>
  <c r="J334" i="2"/>
  <c r="CL19" i="3" s="1"/>
  <c r="J333" i="2"/>
  <c r="R16" i="3" s="1"/>
  <c r="J332" i="2"/>
  <c r="FX23" i="3" s="1"/>
  <c r="J331" i="2"/>
  <c r="GY9" i="3" s="1"/>
  <c r="J330" i="2"/>
  <c r="EN15" i="3" s="1"/>
  <c r="J329" i="2"/>
  <c r="FF12" i="3" s="1"/>
  <c r="J328" i="2"/>
  <c r="BT21" i="3" s="1"/>
  <c r="J327" i="2"/>
  <c r="DD18" i="3" s="1"/>
  <c r="J326" i="2"/>
  <c r="CU20" i="3" s="1"/>
  <c r="J325" i="2"/>
  <c r="FX22" i="3" s="1"/>
  <c r="J324" i="2"/>
  <c r="DD17" i="3" s="1"/>
  <c r="J323" i="2"/>
  <c r="CU19" i="3" s="1"/>
  <c r="J322" i="2"/>
  <c r="FX21" i="3" s="1"/>
  <c r="J321" i="2"/>
  <c r="GP12" i="3" s="1"/>
  <c r="J320" i="2"/>
  <c r="AS17" i="3" s="1"/>
  <c r="J319" i="2"/>
  <c r="AJ17" i="3" s="1"/>
  <c r="J318" i="2"/>
  <c r="DV19" i="3" s="1"/>
  <c r="I23" i="4" s="1"/>
  <c r="I22" i="5" s="1"/>
  <c r="J317" i="2"/>
  <c r="DM21" i="3" s="1"/>
  <c r="J316" i="2"/>
  <c r="I20" i="3" s="1"/>
  <c r="J315" i="2"/>
  <c r="CC20" i="3" s="1"/>
  <c r="J314" i="2"/>
  <c r="BT20" i="3" s="1"/>
  <c r="J313" i="2"/>
  <c r="BK20" i="3" s="1"/>
  <c r="J312" i="2"/>
  <c r="AS16" i="3" s="1"/>
  <c r="J311" i="2"/>
  <c r="AJ16" i="3" s="1"/>
  <c r="J310" i="2"/>
  <c r="DV18" i="3" s="1"/>
  <c r="I22" i="4" s="1"/>
  <c r="I21" i="5" s="1"/>
  <c r="J309" i="2"/>
  <c r="DM20" i="3" s="1"/>
  <c r="J308" i="2"/>
  <c r="I19" i="3" s="1"/>
  <c r="J307" i="2"/>
  <c r="GG11" i="3" s="1"/>
  <c r="J306" i="2"/>
  <c r="EW11" i="3" s="1"/>
  <c r="J305" i="2"/>
  <c r="FO9" i="3" s="1"/>
  <c r="J304" i="2"/>
  <c r="CC19" i="3" s="1"/>
  <c r="J303" i="2"/>
  <c r="BT19" i="3" s="1"/>
  <c r="J302" i="2"/>
  <c r="BK19" i="3" s="1"/>
  <c r="J301" i="2"/>
  <c r="DD16" i="3" s="1"/>
  <c r="J300" i="2"/>
  <c r="J299" i="2"/>
  <c r="CL18" i="3" s="1"/>
  <c r="J298" i="2"/>
  <c r="R15" i="3" s="1"/>
  <c r="J297" i="2"/>
  <c r="FX20" i="3" s="1"/>
  <c r="J296" i="2"/>
  <c r="CU17" i="3" s="1"/>
  <c r="J295" i="2"/>
  <c r="J294" i="2"/>
  <c r="R14" i="3" s="1"/>
  <c r="J293" i="2"/>
  <c r="FX19" i="3" s="1"/>
  <c r="J292" i="2"/>
  <c r="EN14" i="3" s="1"/>
  <c r="J291" i="2"/>
  <c r="FF11" i="3" s="1"/>
  <c r="J290" i="2"/>
  <c r="J289" i="2"/>
  <c r="AJ15" i="3" s="1"/>
  <c r="J288" i="2"/>
  <c r="EE14" i="3" s="1"/>
  <c r="J287" i="2"/>
  <c r="DV17" i="3" s="1"/>
  <c r="I21" i="4" s="1"/>
  <c r="I20" i="5" s="1"/>
  <c r="J286" i="2"/>
  <c r="DM19" i="3" s="1"/>
  <c r="J285" i="2"/>
  <c r="I18" i="3" s="1"/>
  <c r="J284" i="2"/>
  <c r="J283" i="2"/>
  <c r="BT18" i="3" s="1"/>
  <c r="J282" i="2"/>
  <c r="BK18" i="3" s="1"/>
  <c r="J281" i="2"/>
  <c r="AS14" i="3" s="1"/>
  <c r="J280" i="2"/>
  <c r="AJ14" i="3" s="1"/>
  <c r="J279" i="2"/>
  <c r="EE13" i="3" s="1"/>
  <c r="J278" i="2"/>
  <c r="DV16" i="3" s="1"/>
  <c r="I20" i="4" s="1"/>
  <c r="I19" i="5" s="1"/>
  <c r="J277" i="2"/>
  <c r="DM18" i="3" s="1"/>
  <c r="J276" i="2"/>
  <c r="I17" i="3" s="1"/>
  <c r="J275" i="2"/>
  <c r="J274" i="2"/>
  <c r="GY8" i="3" s="1"/>
  <c r="J273" i="2"/>
  <c r="J272" i="2"/>
  <c r="FO8" i="3" s="1"/>
  <c r="J271" i="2"/>
  <c r="CC17" i="3" s="1"/>
  <c r="J270" i="2"/>
  <c r="BT17" i="3" s="1"/>
  <c r="J269" i="2"/>
  <c r="BK17" i="3" s="1"/>
  <c r="J268" i="2"/>
  <c r="DM17" i="3" s="1"/>
  <c r="J267" i="2"/>
  <c r="DD15" i="3" s="1"/>
  <c r="J266" i="2"/>
  <c r="CU16" i="3" s="1"/>
  <c r="J265" i="2"/>
  <c r="CL16" i="3" s="1"/>
  <c r="J264" i="2"/>
  <c r="J263" i="2"/>
  <c r="FX18" i="3" s="1"/>
  <c r="J262" i="2"/>
  <c r="GP11" i="3" s="1"/>
  <c r="J261" i="2"/>
  <c r="BB16" i="3" s="1"/>
  <c r="J260" i="2"/>
  <c r="DD14" i="3" s="1"/>
  <c r="J259" i="2"/>
  <c r="J258" i="2"/>
  <c r="CL15" i="3" s="1"/>
  <c r="J257" i="2"/>
  <c r="R12" i="3" s="1"/>
  <c r="J256" i="2"/>
  <c r="FX17" i="3" s="1"/>
  <c r="J255" i="2"/>
  <c r="GP10" i="3" s="1"/>
  <c r="J254" i="2"/>
  <c r="EN13" i="3" s="1"/>
  <c r="J253" i="2"/>
  <c r="FF10" i="3" s="1"/>
  <c r="J252" i="2"/>
  <c r="BB15" i="3" s="1"/>
  <c r="J251" i="2"/>
  <c r="DV15" i="3" s="1"/>
  <c r="I19" i="4" s="1"/>
  <c r="I18" i="5" s="1"/>
  <c r="J250" i="2"/>
  <c r="AS13" i="3" s="1"/>
  <c r="J249" i="2"/>
  <c r="J248" i="2"/>
  <c r="J247" i="2"/>
  <c r="EE12" i="3" s="1"/>
  <c r="J246" i="2"/>
  <c r="DV14" i="3" s="1"/>
  <c r="I18" i="4" s="1"/>
  <c r="I17" i="5" s="1"/>
  <c r="J245" i="2"/>
  <c r="DM16" i="3" s="1"/>
  <c r="J244" i="2"/>
  <c r="I16" i="3" s="1"/>
  <c r="J243" i="2"/>
  <c r="GG9" i="3" s="1"/>
  <c r="J242" i="2"/>
  <c r="J241" i="2"/>
  <c r="BT16" i="3" s="1"/>
  <c r="J240" i="2"/>
  <c r="BK16" i="3" s="1"/>
  <c r="J239" i="2"/>
  <c r="AS12" i="3" s="1"/>
  <c r="J238" i="2"/>
  <c r="AJ12" i="3" s="1"/>
  <c r="J237" i="2"/>
  <c r="J236" i="2"/>
  <c r="EE11" i="3" s="1"/>
  <c r="J235" i="2"/>
  <c r="J234" i="2"/>
  <c r="DM15" i="3" s="1"/>
  <c r="J233" i="2"/>
  <c r="I15" i="3" s="1"/>
  <c r="J232" i="2"/>
  <c r="GY7" i="3" s="1"/>
  <c r="J231" i="2"/>
  <c r="EW9" i="3" s="1"/>
  <c r="J230" i="2"/>
  <c r="FO7" i="3" s="1"/>
  <c r="J229" i="2"/>
  <c r="J228" i="2"/>
  <c r="BT15" i="3" s="1"/>
  <c r="J227" i="2"/>
  <c r="BK15" i="3" s="1"/>
  <c r="J226" i="2"/>
  <c r="J225" i="2"/>
  <c r="CU14" i="3" s="1"/>
  <c r="J224" i="2"/>
  <c r="CL14" i="3" s="1"/>
  <c r="J223" i="2"/>
  <c r="R11" i="3" s="1"/>
  <c r="J222" i="2"/>
  <c r="FX16" i="3" s="1"/>
  <c r="J221" i="2"/>
  <c r="J220" i="2"/>
  <c r="EN12" i="3" s="1"/>
  <c r="J219" i="2"/>
  <c r="BB14" i="3" s="1"/>
  <c r="J218" i="2"/>
  <c r="DD12" i="3" s="1"/>
  <c r="J217" i="2"/>
  <c r="CU13" i="3" s="1"/>
  <c r="J216" i="2"/>
  <c r="CL13" i="3" s="1"/>
  <c r="J215" i="2"/>
  <c r="FX15" i="3" s="1"/>
  <c r="J214" i="2"/>
  <c r="GP8" i="3" s="1"/>
  <c r="J213" i="2"/>
  <c r="FF9" i="3" s="1"/>
  <c r="J212" i="2"/>
  <c r="BB13" i="3" s="1"/>
  <c r="J211" i="2"/>
  <c r="AS11" i="3" s="1"/>
  <c r="J210" i="2"/>
  <c r="AA14" i="3" s="1"/>
  <c r="J209" i="2"/>
  <c r="J208" i="2"/>
  <c r="DV12" i="3" s="1"/>
  <c r="I16" i="4" s="1"/>
  <c r="I15" i="5" s="1"/>
  <c r="J207" i="2"/>
  <c r="J206" i="2"/>
  <c r="I14" i="3" s="1"/>
  <c r="J205" i="2"/>
  <c r="J204" i="2"/>
  <c r="BT14" i="3" s="1"/>
  <c r="J203" i="2"/>
  <c r="J202" i="2"/>
  <c r="AJ11" i="3" s="1"/>
  <c r="J201" i="2"/>
  <c r="AA13" i="3" s="1"/>
  <c r="J200" i="2"/>
  <c r="DM13" i="3" s="1"/>
  <c r="J199" i="2"/>
  <c r="I13" i="3" s="1"/>
  <c r="J198" i="2"/>
  <c r="GG8" i="3" s="1"/>
  <c r="J197" i="2"/>
  <c r="GY6" i="3" s="1"/>
  <c r="J196" i="2"/>
  <c r="EW8" i="3" s="1"/>
  <c r="J195" i="2"/>
  <c r="J194" i="2"/>
  <c r="CC13" i="3" s="1"/>
  <c r="J193" i="2"/>
  <c r="BT13" i="3" s="1"/>
  <c r="J192" i="2"/>
  <c r="BK13" i="3" s="1"/>
  <c r="J191" i="2"/>
  <c r="DD11" i="3" s="1"/>
  <c r="J190" i="2"/>
  <c r="CU12" i="3" s="1"/>
  <c r="J189" i="2"/>
  <c r="CL12" i="3" s="1"/>
  <c r="J188" i="2"/>
  <c r="FX14" i="3" s="1"/>
  <c r="J187" i="2"/>
  <c r="J186" i="2"/>
  <c r="BB12" i="3" s="1"/>
  <c r="J185" i="2"/>
  <c r="DD10" i="3" s="1"/>
  <c r="J184" i="2"/>
  <c r="CU11" i="3" s="1"/>
  <c r="J183" i="2"/>
  <c r="J182" i="2"/>
  <c r="R10" i="3" s="1"/>
  <c r="J181" i="2"/>
  <c r="FX13" i="3" s="1"/>
  <c r="J180" i="2"/>
  <c r="GP7" i="3" s="1"/>
  <c r="J179" i="2"/>
  <c r="EN10" i="3" s="1"/>
  <c r="J178" i="2"/>
  <c r="FF8" i="3" s="1"/>
  <c r="J177" i="2"/>
  <c r="BB11" i="3" s="1"/>
  <c r="J176" i="2"/>
  <c r="I12" i="3" s="1"/>
  <c r="J175" i="2"/>
  <c r="I11" i="3" s="1"/>
  <c r="J174" i="2"/>
  <c r="AA12" i="3" s="1"/>
  <c r="J173" i="2"/>
  <c r="J172" i="2"/>
  <c r="DM12" i="3" s="1"/>
  <c r="J171" i="2"/>
  <c r="J170" i="2"/>
  <c r="J169" i="2"/>
  <c r="J168" i="2"/>
  <c r="BT12" i="3" s="1"/>
  <c r="J167" i="2"/>
  <c r="J166" i="2"/>
  <c r="J165" i="2"/>
  <c r="AJ10" i="3" s="1"/>
  <c r="J164" i="2"/>
  <c r="AA11" i="3" s="1"/>
  <c r="J163" i="2"/>
  <c r="EE9" i="3" s="1"/>
  <c r="J162" i="2"/>
  <c r="DV10" i="3" s="1"/>
  <c r="I14" i="4" s="1"/>
  <c r="I13" i="5" s="1"/>
  <c r="J161" i="2"/>
  <c r="DM11" i="3" s="1"/>
  <c r="J160" i="2"/>
  <c r="I9" i="3" s="1"/>
  <c r="J159" i="2"/>
  <c r="GG7" i="3" s="1"/>
  <c r="J158" i="2"/>
  <c r="GY5" i="3" s="1"/>
  <c r="J157" i="2"/>
  <c r="EW7" i="3" s="1"/>
  <c r="J156" i="2"/>
  <c r="CC11" i="3" s="1"/>
  <c r="J155" i="2"/>
  <c r="J154" i="2"/>
  <c r="BK11" i="3" s="1"/>
  <c r="J153" i="2"/>
  <c r="J152" i="2"/>
  <c r="CU10" i="3" s="1"/>
  <c r="J151" i="2"/>
  <c r="CL10" i="3" s="1"/>
  <c r="J150" i="2"/>
  <c r="R9" i="3" s="1"/>
  <c r="J149" i="2"/>
  <c r="FX11" i="3" s="1"/>
  <c r="J148" i="2"/>
  <c r="BB10" i="3" s="1"/>
  <c r="J147" i="2"/>
  <c r="DD8" i="3" s="1"/>
  <c r="J146" i="2"/>
  <c r="CU9" i="3" s="1"/>
  <c r="J145" i="2"/>
  <c r="CL9" i="3" s="1"/>
  <c r="J144" i="2"/>
  <c r="R8" i="3" s="1"/>
  <c r="J143" i="2"/>
  <c r="FX10" i="3" s="1"/>
  <c r="J142" i="2"/>
  <c r="GP6" i="3" s="1"/>
  <c r="J141" i="2"/>
  <c r="EN9" i="3" s="1"/>
  <c r="J140" i="2"/>
  <c r="FF7" i="3" s="1"/>
  <c r="J139" i="2"/>
  <c r="J138" i="2"/>
  <c r="AS9" i="3" s="1"/>
  <c r="J137" i="2"/>
  <c r="AJ9" i="3" s="1"/>
  <c r="J136" i="2"/>
  <c r="AA10" i="3" s="1"/>
  <c r="J135" i="2"/>
  <c r="J134" i="2"/>
  <c r="DV9" i="3" s="1"/>
  <c r="I13" i="4" s="1"/>
  <c r="I12" i="5" s="1"/>
  <c r="J133" i="2"/>
  <c r="CC10" i="3" s="1"/>
  <c r="J132" i="2"/>
  <c r="BT10" i="3" s="1"/>
  <c r="J131" i="2"/>
  <c r="J130" i="2"/>
  <c r="J129" i="2"/>
  <c r="AJ8" i="3" s="1"/>
  <c r="J128" i="2"/>
  <c r="AA9" i="3" s="1"/>
  <c r="J127" i="2"/>
  <c r="EE7" i="3" s="1"/>
  <c r="J126" i="2"/>
  <c r="DV8" i="3" s="1"/>
  <c r="I12" i="4" s="1"/>
  <c r="I11" i="5" s="1"/>
  <c r="J125" i="2"/>
  <c r="DM10" i="3" s="1"/>
  <c r="J124" i="2"/>
  <c r="GG6" i="3" s="1"/>
  <c r="J123" i="2"/>
  <c r="J122" i="2"/>
  <c r="FO5" i="3" s="1"/>
  <c r="J121" i="2"/>
  <c r="CC9" i="3" s="1"/>
  <c r="J120" i="2"/>
  <c r="J119" i="2"/>
  <c r="BK9" i="3" s="1"/>
  <c r="J118" i="2"/>
  <c r="CU8" i="3" s="1"/>
  <c r="J117" i="2"/>
  <c r="CL8" i="3" s="1"/>
  <c r="J116" i="2"/>
  <c r="R7" i="3" s="1"/>
  <c r="J115" i="2"/>
  <c r="FX9" i="3" s="1"/>
  <c r="J114" i="2"/>
  <c r="EN8" i="3" s="1"/>
  <c r="J113" i="2"/>
  <c r="BB8" i="3" s="1"/>
  <c r="J112" i="2"/>
  <c r="DD7" i="3" s="1"/>
  <c r="J111" i="2"/>
  <c r="CU7" i="3" s="1"/>
  <c r="J110" i="2"/>
  <c r="CL7" i="3" s="1"/>
  <c r="J109" i="2"/>
  <c r="R6" i="3" s="1"/>
  <c r="J108" i="2"/>
  <c r="FX8" i="3" s="1"/>
  <c r="J107" i="2"/>
  <c r="GP5" i="3" s="1"/>
  <c r="J106" i="2"/>
  <c r="FF6" i="3" s="1"/>
  <c r="J105" i="2"/>
  <c r="J104" i="2"/>
  <c r="AS7" i="3" s="1"/>
  <c r="J103" i="2"/>
  <c r="J102" i="2"/>
  <c r="J101" i="2"/>
  <c r="EE6" i="3" s="1"/>
  <c r="J100" i="2"/>
  <c r="DM9" i="3" s="1"/>
  <c r="J99" i="2"/>
  <c r="I8" i="3" s="1"/>
  <c r="J98" i="2"/>
  <c r="CC8" i="3" s="1"/>
  <c r="J97" i="2"/>
  <c r="BT8" i="3" s="1"/>
  <c r="J96" i="2"/>
  <c r="BK8" i="3" s="1"/>
  <c r="J95" i="2"/>
  <c r="AS6" i="3" s="1"/>
  <c r="J94" i="2"/>
  <c r="AJ6" i="3" s="1"/>
  <c r="J93" i="2"/>
  <c r="AA7" i="3" s="1"/>
  <c r="J92" i="2"/>
  <c r="EE5" i="3" s="1"/>
  <c r="J91" i="2"/>
  <c r="DV7" i="3" s="1"/>
  <c r="I11" i="4" s="1"/>
  <c r="I10" i="5" s="1"/>
  <c r="J90" i="2"/>
  <c r="J89" i="2"/>
  <c r="I7" i="3" s="1"/>
  <c r="J88" i="2"/>
  <c r="GG5" i="3" s="1"/>
  <c r="J87" i="2"/>
  <c r="GY4" i="3" s="1"/>
  <c r="J86" i="2"/>
  <c r="EW5" i="3" s="1"/>
  <c r="J85" i="2"/>
  <c r="J84" i="2"/>
  <c r="CC7" i="3" s="1"/>
  <c r="J83" i="2"/>
  <c r="BT7" i="3" s="1"/>
  <c r="J82" i="2"/>
  <c r="BK7" i="3" s="1"/>
  <c r="J81" i="2"/>
  <c r="DD6" i="3" s="1"/>
  <c r="J80" i="2"/>
  <c r="CU6" i="3" s="1"/>
  <c r="J79" i="2"/>
  <c r="CL6" i="3" s="1"/>
  <c r="J78" i="2"/>
  <c r="R5" i="3" s="1"/>
  <c r="J77" i="2"/>
  <c r="EN7" i="3" s="1"/>
  <c r="J76" i="2"/>
  <c r="BB6" i="3" s="1"/>
  <c r="J75" i="2"/>
  <c r="J74" i="2"/>
  <c r="J73" i="2"/>
  <c r="J72" i="2"/>
  <c r="J71" i="2"/>
  <c r="GP4" i="3" s="1"/>
  <c r="J70" i="2"/>
  <c r="EN6" i="3" s="1"/>
  <c r="J69" i="2"/>
  <c r="J68" i="2"/>
  <c r="BB5" i="3" s="1"/>
  <c r="J67" i="2"/>
  <c r="AS5" i="3" s="1"/>
  <c r="J66" i="2"/>
  <c r="J65" i="2"/>
  <c r="J64" i="2"/>
  <c r="DV6" i="3" s="1"/>
  <c r="I10" i="4" s="1"/>
  <c r="I9" i="5" s="1"/>
  <c r="J63" i="2"/>
  <c r="DM7" i="3" s="1"/>
  <c r="J62" i="2"/>
  <c r="I6" i="3" s="1"/>
  <c r="J61" i="2"/>
  <c r="CC6" i="3" s="1"/>
  <c r="J60" i="2"/>
  <c r="BT6" i="3" s="1"/>
  <c r="J59" i="2"/>
  <c r="BK6" i="3" s="1"/>
  <c r="J58" i="2"/>
  <c r="AS4" i="3" s="1"/>
  <c r="J57" i="2"/>
  <c r="AJ4" i="3" s="1"/>
  <c r="J56" i="2"/>
  <c r="AA5" i="3" s="1"/>
  <c r="J55" i="2"/>
  <c r="J54" i="2"/>
  <c r="DV5" i="3" s="1"/>
  <c r="I9" i="4" s="1"/>
  <c r="I8" i="5" s="1"/>
  <c r="J53" i="2"/>
  <c r="J52" i="2"/>
  <c r="I5" i="3" s="1"/>
  <c r="J51" i="2"/>
  <c r="GG4" i="3" s="1"/>
  <c r="J50" i="2"/>
  <c r="GY3" i="3" s="1"/>
  <c r="J49" i="2"/>
  <c r="J48" i="2"/>
  <c r="FO3" i="3" s="1"/>
  <c r="J47" i="2"/>
  <c r="CC5" i="3" s="1"/>
  <c r="J46" i="2"/>
  <c r="BT5" i="3" s="1"/>
  <c r="J45" i="2"/>
  <c r="BK5" i="3" s="1"/>
  <c r="J44" i="2"/>
  <c r="J43" i="2"/>
  <c r="J42" i="2"/>
  <c r="J41" i="2"/>
  <c r="J40" i="2"/>
  <c r="EN5" i="3" s="1"/>
  <c r="J39" i="2"/>
  <c r="BB4" i="3" s="1"/>
  <c r="J38" i="2"/>
  <c r="DD3" i="3" s="1"/>
  <c r="J37" i="2"/>
  <c r="CU3" i="3" s="1"/>
  <c r="J36" i="2"/>
  <c r="CL3" i="3" s="1"/>
  <c r="J35" i="2"/>
  <c r="J34" i="2"/>
  <c r="FX6" i="3" s="1"/>
  <c r="J33" i="2"/>
  <c r="J32" i="2"/>
  <c r="EN4" i="3" s="1"/>
  <c r="J31" i="2"/>
  <c r="FF4" i="3" s="1"/>
  <c r="J30" i="2"/>
  <c r="BB3" i="3" s="1"/>
  <c r="J29" i="2"/>
  <c r="AJ3" i="3" s="1"/>
  <c r="J28" i="2"/>
  <c r="J27" i="2"/>
  <c r="DV4" i="3" s="1"/>
  <c r="I8" i="4" s="1"/>
  <c r="I7" i="5" s="1"/>
  <c r="J26" i="2"/>
  <c r="DM5" i="3" s="1"/>
  <c r="J25" i="2"/>
  <c r="J24" i="2"/>
  <c r="J23" i="2"/>
  <c r="GG3" i="3" s="1"/>
  <c r="J22" i="2"/>
  <c r="J21" i="2"/>
  <c r="BT4" i="3" s="1"/>
  <c r="J20" i="2"/>
  <c r="BK4" i="3" s="1"/>
  <c r="J19" i="2"/>
  <c r="AS3" i="3" s="1"/>
  <c r="J18" i="2"/>
  <c r="AA3" i="3" s="1"/>
  <c r="J17" i="2"/>
  <c r="EE3" i="3" s="1"/>
  <c r="J16" i="2"/>
  <c r="DV3" i="3" s="1"/>
  <c r="I7" i="4" s="1"/>
  <c r="I6" i="5" s="1"/>
  <c r="J15" i="2"/>
  <c r="DM4" i="3" s="1"/>
  <c r="J14" i="2"/>
  <c r="I3" i="3" s="1"/>
  <c r="J13" i="2"/>
  <c r="EW3" i="3" s="1"/>
  <c r="J12" i="2"/>
  <c r="J11" i="2"/>
  <c r="J10" i="2"/>
  <c r="BK3" i="3" s="1"/>
  <c r="J9" i="2"/>
  <c r="DM3" i="3" s="1"/>
  <c r="J8" i="2"/>
  <c r="FX4" i="3" s="1"/>
  <c r="J7" i="2"/>
  <c r="J6" i="2"/>
  <c r="J5" i="2"/>
  <c r="FX3" i="3" s="1"/>
</calcChain>
</file>

<file path=xl/sharedStrings.xml><?xml version="1.0" encoding="utf-8"?>
<sst xmlns="http://schemas.openxmlformats.org/spreadsheetml/2006/main" count="2927" uniqueCount="856">
  <si>
    <t>Rozpis zápasů BC Benešov 2026/2027</t>
  </si>
  <si>
    <t>Muži "A"</t>
  </si>
  <si>
    <t>Muži "B"</t>
  </si>
  <si>
    <t>Ženy "A"</t>
  </si>
  <si>
    <t>Ženy "B"</t>
  </si>
  <si>
    <t>Ženy "C"</t>
  </si>
  <si>
    <t>junioři  U19</t>
  </si>
  <si>
    <t>kadeti U17</t>
  </si>
  <si>
    <t>kadetky U17</t>
  </si>
  <si>
    <t>kadetky U17 "B"</t>
  </si>
  <si>
    <t>žáci U15</t>
  </si>
  <si>
    <t>žákyně U15</t>
  </si>
  <si>
    <t>žákyně U15 "B"</t>
  </si>
  <si>
    <t>žáci U14</t>
  </si>
  <si>
    <t>žákyně U14</t>
  </si>
  <si>
    <t>žákyně U14 "B"</t>
  </si>
  <si>
    <t>minižáci U13</t>
  </si>
  <si>
    <t>minižáci U12</t>
  </si>
  <si>
    <t>minižáci U11</t>
  </si>
  <si>
    <t>minižáci U10</t>
  </si>
  <si>
    <t>minižákyně U13</t>
  </si>
  <si>
    <t>minižákyně U12</t>
  </si>
  <si>
    <t>minižákyně U11</t>
  </si>
  <si>
    <t>minižákyně U10</t>
  </si>
  <si>
    <t>mix U10</t>
  </si>
  <si>
    <t>SBLM</t>
  </si>
  <si>
    <t>KP</t>
  </si>
  <si>
    <t>II. Liga</t>
  </si>
  <si>
    <t>SBLŽ</t>
  </si>
  <si>
    <t>NRL</t>
  </si>
  <si>
    <t>nadreg. liga</t>
  </si>
  <si>
    <t>celostátní liga</t>
  </si>
  <si>
    <t>žákovská liga</t>
  </si>
  <si>
    <t>nadreg. Liga</t>
  </si>
  <si>
    <t>KP + kval. o NF</t>
  </si>
  <si>
    <t>Šmoulinka</t>
  </si>
  <si>
    <t>So 5. 9.</t>
  </si>
  <si>
    <t>Ne 6. 9.</t>
  </si>
  <si>
    <t>Čt 10. 9.</t>
  </si>
  <si>
    <t>Sokol Nusle 006</t>
  </si>
  <si>
    <t>So 12. 9.</t>
  </si>
  <si>
    <t>BN-Pardubice-Nymburk</t>
  </si>
  <si>
    <t>Slavoj Český Brod 2x 004, 049</t>
  </si>
  <si>
    <t>Ne 13. 9.</t>
  </si>
  <si>
    <t>BK Kladno 091</t>
  </si>
  <si>
    <t>Sokol Nehvizdy 011</t>
  </si>
  <si>
    <t>So 19. 9.</t>
  </si>
  <si>
    <t>BK Český Brod 004</t>
  </si>
  <si>
    <t>BK Lvice Litoměřice 006</t>
  </si>
  <si>
    <t>BK Příbram 2000 004</t>
  </si>
  <si>
    <t>BC Kolín A 17116</t>
  </si>
  <si>
    <t>Sojky Pelhřimov 064</t>
  </si>
  <si>
    <t>BK Klatovy 17534</t>
  </si>
  <si>
    <t>BK Brandýs 096</t>
  </si>
  <si>
    <t>Vlčice Žďár 122</t>
  </si>
  <si>
    <t>Basket Říčany 002</t>
  </si>
  <si>
    <t>BA Nymburk 2x 004,040</t>
  </si>
  <si>
    <t>Ne 20. 9.</t>
  </si>
  <si>
    <t>BC Kolín 009</t>
  </si>
  <si>
    <t>BA Roudnice 009</t>
  </si>
  <si>
    <t>BK Příbram 2000 007</t>
  </si>
  <si>
    <t>BC Kolín B 17123</t>
  </si>
  <si>
    <t>Vlčice Žďár 06</t>
  </si>
  <si>
    <t>BK Strakonice B 17540</t>
  </si>
  <si>
    <t>Jižní Supi 099</t>
  </si>
  <si>
    <t>BK Blansko 124</t>
  </si>
  <si>
    <t>BC Slaný 030</t>
  </si>
  <si>
    <t>ŠBK Sadská 2x 004,032</t>
  </si>
  <si>
    <t>So 26. 9.</t>
  </si>
  <si>
    <t>BK Příbram 2000 "B" 001</t>
  </si>
  <si>
    <t>BK Medvědi Tábor 19226</t>
  </si>
  <si>
    <t>Tigers České Budějovice 007</t>
  </si>
  <si>
    <t>USK Praha 006</t>
  </si>
  <si>
    <t>Bižu Jablonecko B 032</t>
  </si>
  <si>
    <t>BK Český Brod 002</t>
  </si>
  <si>
    <t>BA Nymburk 2x 004,052</t>
  </si>
  <si>
    <t>TJ AŠ Mladá Boleslav 014</t>
  </si>
  <si>
    <t>Basket Poděbrady 2x 003, 024</t>
  </si>
  <si>
    <t>Ne 27. 9.</t>
  </si>
  <si>
    <t>BK Medvědi Tábor 19254</t>
  </si>
  <si>
    <t>BK Medvědi Tábor 011</t>
  </si>
  <si>
    <t>BK Levhartice Chomutov 10</t>
  </si>
  <si>
    <t>AŠ Mladá Boleslav 026</t>
  </si>
  <si>
    <t>NBK Milovice 004</t>
  </si>
  <si>
    <t>BK Brandýs 019</t>
  </si>
  <si>
    <t>říjen</t>
  </si>
  <si>
    <t>So 3. 10.</t>
  </si>
  <si>
    <t>BK Brandýs n.L. "B" 013</t>
  </si>
  <si>
    <t>BA Louny 014</t>
  </si>
  <si>
    <t>BC Kolín "B" 008</t>
  </si>
  <si>
    <t>BK Sojky Pelhřimov 009</t>
  </si>
  <si>
    <t>Basket Poděbrady B 17124</t>
  </si>
  <si>
    <t>HB Basket Praha B 072</t>
  </si>
  <si>
    <t>PORG Basket 17548</t>
  </si>
  <si>
    <t>Slavia Tygři Praha B 102</t>
  </si>
  <si>
    <t>Žabiny Brno 127</t>
  </si>
  <si>
    <t>Slovan Varnsdorf 006</t>
  </si>
  <si>
    <t>BK Brandýs 2x 005,041</t>
  </si>
  <si>
    <t>BC Benešov Ž 2x 001,021</t>
  </si>
  <si>
    <t>BC Kolín 2x 005,033</t>
  </si>
  <si>
    <t>BC Benešov M 2x 01,021</t>
  </si>
  <si>
    <t>Ne 4. 10.</t>
  </si>
  <si>
    <t>AŠ Mladá Boleslav 018</t>
  </si>
  <si>
    <t>Sokol Kladno 018</t>
  </si>
  <si>
    <t>BK Sojky Pelhřimov 014</t>
  </si>
  <si>
    <t>BC Kolín "B" 012</t>
  </si>
  <si>
    <t>AŠ Mladá Boleslav 17131</t>
  </si>
  <si>
    <t>TJ AŠ Mladá Boleslav 075</t>
  </si>
  <si>
    <t>Sokol Nusle B 17553</t>
  </si>
  <si>
    <t>Slavia Tygři Praha 104</t>
  </si>
  <si>
    <t>Žabiny Brno B 130</t>
  </si>
  <si>
    <t>So 10. 10.</t>
  </si>
  <si>
    <t>AŠ Mladá Boleslav "B" 010</t>
  </si>
  <si>
    <t>Radotínský SK 19231</t>
  </si>
  <si>
    <t>Jižní Supi 015</t>
  </si>
  <si>
    <t>Tigers České Budějovice 016</t>
  </si>
  <si>
    <t>Sokol Pečky 043</t>
  </si>
  <si>
    <t>Basket Poděbrady 008</t>
  </si>
  <si>
    <t>BK Brandýs 2x 015,060</t>
  </si>
  <si>
    <t>BC Slaný 2x 005,026</t>
  </si>
  <si>
    <t>Ne 11. 10.</t>
  </si>
  <si>
    <t>BK Mělník 013</t>
  </si>
  <si>
    <t>BK Příbram 2000 19235</t>
  </si>
  <si>
    <t>TJ Sokol Kbely 020</t>
  </si>
  <si>
    <t>BK Strakonice 020</t>
  </si>
  <si>
    <t>Basketbal Újezd nad Lesy 048</t>
  </si>
  <si>
    <t>BA Nymburk 011</t>
  </si>
  <si>
    <t>So 17. 10.</t>
  </si>
  <si>
    <t>Sokol Nové Strašecí 028</t>
  </si>
  <si>
    <t>DBaK 022</t>
  </si>
  <si>
    <t>BK Brandýs "B" 017</t>
  </si>
  <si>
    <t>Slavoj Český Brod 018</t>
  </si>
  <si>
    <t>Jižní Supi B 17140</t>
  </si>
  <si>
    <t>Studánka Pardubice 078</t>
  </si>
  <si>
    <t>BCM Sokolov 17556</t>
  </si>
  <si>
    <t>BA Radotín 085</t>
  </si>
  <si>
    <t>Studánka Pardubice 131</t>
  </si>
  <si>
    <t>Basket Slovanka B 011</t>
  </si>
  <si>
    <t>TJ AŠ Mladá Boleslav 2x 011, 047</t>
  </si>
  <si>
    <t>BK Mělník 2x 002,022</t>
  </si>
  <si>
    <t>BC Slaný 2x 012,040</t>
  </si>
  <si>
    <t>TJ AŚ Mladá Boleslav 2x 004,024</t>
  </si>
  <si>
    <t>Ne 18. 10.</t>
  </si>
  <si>
    <t>BK Kladno "B" 033</t>
  </si>
  <si>
    <t>Lokomotiva Karlovy Vary 025</t>
  </si>
  <si>
    <t>Slavoj Český Brod 020</t>
  </si>
  <si>
    <t>BK Brandýs "B" 021</t>
  </si>
  <si>
    <t>Sokol Žižkov B 17146</t>
  </si>
  <si>
    <t>Sokol Nusle 082</t>
  </si>
  <si>
    <t>BC Slaný 17562</t>
  </si>
  <si>
    <t>BA Radotín 106</t>
  </si>
  <si>
    <t>Tygři Praha B 015</t>
  </si>
  <si>
    <t>St 21. 10.</t>
  </si>
  <si>
    <t>So 24. 10.</t>
  </si>
  <si>
    <t>BK Sadská 016</t>
  </si>
  <si>
    <t>BK Sojky Pelhřimov C 19239</t>
  </si>
  <si>
    <t>BK Lokomotiva Plzeň 021</t>
  </si>
  <si>
    <t>SKB Rokycany 024</t>
  </si>
  <si>
    <t>BK Příbram 2000 049</t>
  </si>
  <si>
    <t>Pandy Čelákovice 2x 016, 061</t>
  </si>
  <si>
    <t>Sokol Kladno 040</t>
  </si>
  <si>
    <t>BK Brandýs nad Labem 2x 008,027</t>
  </si>
  <si>
    <t>Ne 25. 10.</t>
  </si>
  <si>
    <t>TJ Sokol Nehvizdy 020</t>
  </si>
  <si>
    <t>TJ Třebíč 19244</t>
  </si>
  <si>
    <t>Slavi Tygři Praha 025</t>
  </si>
  <si>
    <t>DBaK 027</t>
  </si>
  <si>
    <t>BK Mělník 016</t>
  </si>
  <si>
    <t>HB Basket 045</t>
  </si>
  <si>
    <t>So 31. 10.</t>
  </si>
  <si>
    <t>listopad</t>
  </si>
  <si>
    <t>Ne 1. 11.</t>
  </si>
  <si>
    <t>So 7. 11.</t>
  </si>
  <si>
    <t>Sokol Nusle B 004</t>
  </si>
  <si>
    <t>BC Slaný 025</t>
  </si>
  <si>
    <t>BK Kralupy Junior 026</t>
  </si>
  <si>
    <t>Slovan Varnsdorf B 17150</t>
  </si>
  <si>
    <t>Tigers České Budějovice 058</t>
  </si>
  <si>
    <t>BK Teplice 17572</t>
  </si>
  <si>
    <t>BK Kladno 109</t>
  </si>
  <si>
    <t>BK Blansko</t>
  </si>
  <si>
    <t>Kralupy Junior 016</t>
  </si>
  <si>
    <t>BK Beroun 2x 014, 050</t>
  </si>
  <si>
    <t>BC Slaný 2x 006,26</t>
  </si>
  <si>
    <t>Sokol Nusle 2x 014,042</t>
  </si>
  <si>
    <t>Ne 8. 11.</t>
  </si>
  <si>
    <t>Sokol Nusle B 032</t>
  </si>
  <si>
    <t>BK Kralupy Junior 029</t>
  </si>
  <si>
    <t>BC Slaný 028</t>
  </si>
  <si>
    <t>BA Lynx Liberecko B 17157</t>
  </si>
  <si>
    <t>Tigers České Budějovice 086</t>
  </si>
  <si>
    <t>Válečnice Děčín B 17578</t>
  </si>
  <si>
    <t>Vlčice Žďár 139</t>
  </si>
  <si>
    <t>BA Roudnice 019</t>
  </si>
  <si>
    <t>So 14. 11.</t>
  </si>
  <si>
    <t>Slavoj Český Brod "B" 022</t>
  </si>
  <si>
    <t>BK Lions Jindřichův Hradec 19245</t>
  </si>
  <si>
    <t>BA Radotín 002</t>
  </si>
  <si>
    <t>HB Basket Praha 001</t>
  </si>
  <si>
    <t>Basket Říčany 061</t>
  </si>
  <si>
    <t>Basketbal Újezd nad Lesy 021</t>
  </si>
  <si>
    <t>BC Kolín 2x 025,070</t>
  </si>
  <si>
    <t>BC Kolín 052</t>
  </si>
  <si>
    <t>ŠBK Sadská 2x 012,033</t>
  </si>
  <si>
    <t>Ne 15. 11.</t>
  </si>
  <si>
    <t>Sokol Kutná Hora 026</t>
  </si>
  <si>
    <t>Tigers České Budějovice 19249</t>
  </si>
  <si>
    <t>BA Radotín 030</t>
  </si>
  <si>
    <t>HB Basket Praha 029</t>
  </si>
  <si>
    <t>Sokol Nusle 065</t>
  </si>
  <si>
    <t>ŠBK Sadská 058</t>
  </si>
  <si>
    <t>Út 17. 11.</t>
  </si>
  <si>
    <t>So 21. 11.</t>
  </si>
  <si>
    <t>BK Příbram 2000 051</t>
  </si>
  <si>
    <t>BA Roudnice 033</t>
  </si>
  <si>
    <t>BC Benešov "C" 030</t>
  </si>
  <si>
    <t>BC Benešov "B" 030</t>
  </si>
  <si>
    <t>BA Radotín 17162</t>
  </si>
  <si>
    <t>Vlčice Žďár 092</t>
  </si>
  <si>
    <t>Basketbal Újezd nad Lesy 17582</t>
  </si>
  <si>
    <t>Jižní Supi 111</t>
  </si>
  <si>
    <t>Žabiny Brno B 142</t>
  </si>
  <si>
    <t>Basket Říčany 023</t>
  </si>
  <si>
    <t>TJ Sokol Nehvizdy 2x 018,054</t>
  </si>
  <si>
    <t>BK Kralupy Junior 2x 019, 047</t>
  </si>
  <si>
    <t>BK Mělník 2x 008,028</t>
  </si>
  <si>
    <t>Ne 22. 11.</t>
  </si>
  <si>
    <t>BK Beroun 056</t>
  </si>
  <si>
    <t>BK Lvice Litoměřice 038</t>
  </si>
  <si>
    <t>Basketbal Újezd nad Lesy 17168</t>
  </si>
  <si>
    <t>Sojky Pelhřimov 096</t>
  </si>
  <si>
    <t>BC Wizards 17587</t>
  </si>
  <si>
    <t>BK Brandýs 120</t>
  </si>
  <si>
    <t>Žabiny Brno 144</t>
  </si>
  <si>
    <t>BK Kralupy Junior 036</t>
  </si>
  <si>
    <t>So 28. 11.</t>
  </si>
  <si>
    <t>BC Real Réma Nymbuk 058</t>
  </si>
  <si>
    <t>Ne 29. 11.</t>
  </si>
  <si>
    <t>Basket Poděbrady "B" 063</t>
  </si>
  <si>
    <t>prosinec</t>
  </si>
  <si>
    <t>So 5. 12.</t>
  </si>
  <si>
    <t>TJ TZ Rakovník 031</t>
  </si>
  <si>
    <t>BK Příbram 2000 19259</t>
  </si>
  <si>
    <t>BK Medvědi Tábor 035</t>
  </si>
  <si>
    <t>Levhartice Chomutov 034</t>
  </si>
  <si>
    <t>BC Wizard 068</t>
  </si>
  <si>
    <t>NBK Milovice 022</t>
  </si>
  <si>
    <t>Basketbal Újezd nad Lesy 2x 027, 072</t>
  </si>
  <si>
    <t>BK Pelhřimov 064</t>
  </si>
  <si>
    <t>TJ AŠ Mladá Boleslav 2x 013, 034</t>
  </si>
  <si>
    <t>Ne 6. 12.</t>
  </si>
  <si>
    <t>Radotínský SK 19263</t>
  </si>
  <si>
    <t>Tigers České Budějovice 039</t>
  </si>
  <si>
    <t>USK Praha 038</t>
  </si>
  <si>
    <t>BK Brandýs B 073</t>
  </si>
  <si>
    <t>BK Český Brod 025</t>
  </si>
  <si>
    <t>BK Pelhřimov 070</t>
  </si>
  <si>
    <t>So 12. 12.</t>
  </si>
  <si>
    <t>ŠSK Slaný 071</t>
  </si>
  <si>
    <t>Sokol Kladno 042</t>
  </si>
  <si>
    <t>BK Příbram 2000 039</t>
  </si>
  <si>
    <t>Sokol Pečky 17175</t>
  </si>
  <si>
    <t>TJ AŠ Mladá Boleslav 099</t>
  </si>
  <si>
    <t>Radotínský SK 17592</t>
  </si>
  <si>
    <t>Slavia Tygři Praha 122</t>
  </si>
  <si>
    <t>BC Kolín 2x 023,059</t>
  </si>
  <si>
    <t>TJ AŠ Mladá Boleslav 2x 010,030</t>
  </si>
  <si>
    <t>BK Brandýs 2x 023,051</t>
  </si>
  <si>
    <t>BC Slaný 2x 009,029</t>
  </si>
  <si>
    <t>Ne 13. 12.</t>
  </si>
  <si>
    <t>BK Kralupy Junior 076</t>
  </si>
  <si>
    <t>BA Louny 045</t>
  </si>
  <si>
    <t>BK Příbram 2000 043</t>
  </si>
  <si>
    <t>Sokol Pečky 17181</t>
  </si>
  <si>
    <t>HB Basket Praha B 104</t>
  </si>
  <si>
    <t>Radotínský SK 17598</t>
  </si>
  <si>
    <t>Slavia Tygři Praha B 126</t>
  </si>
  <si>
    <t>Studánka Pardubice 148</t>
  </si>
  <si>
    <t>Slovan Varnsdorf 029</t>
  </si>
  <si>
    <t>So 19. 12.</t>
  </si>
  <si>
    <t>Ne 20. 12.</t>
  </si>
  <si>
    <t>leden</t>
  </si>
  <si>
    <t>So 2. 1.</t>
  </si>
  <si>
    <t>Ne 3. 1.</t>
  </si>
  <si>
    <t>So 9. 1.</t>
  </si>
  <si>
    <t>TJ Třebíč 19268</t>
  </si>
  <si>
    <t>TJ Sokol Kbely 044</t>
  </si>
  <si>
    <t>BK Strakonice 044</t>
  </si>
  <si>
    <t>AŠ Mladá Boleslav 076</t>
  </si>
  <si>
    <t>BN-Brandýs-Nymburk 001-003</t>
  </si>
  <si>
    <t>ŠBK Sadská kval. 002</t>
  </si>
  <si>
    <t>BK Brandýs nad Labem kval. 001</t>
  </si>
  <si>
    <t>Ne 10. 1.</t>
  </si>
  <si>
    <t>BK Příbram 2000 "B" 040</t>
  </si>
  <si>
    <t>BK Sojky Pelhřimov C 19271</t>
  </si>
  <si>
    <t>Jižní Supi 047</t>
  </si>
  <si>
    <t>Tigers České Budějovice 048</t>
  </si>
  <si>
    <t>Bižu Jablonecko B 081</t>
  </si>
  <si>
    <t>Basket Poděbrady 032</t>
  </si>
  <si>
    <t>BK Brandýs kval. 004</t>
  </si>
  <si>
    <t>BC Slaný kval. 003</t>
  </si>
  <si>
    <t>So 16. 1.</t>
  </si>
  <si>
    <t>BC Kolín 082</t>
  </si>
  <si>
    <t>Lokomotiva Karlovy Vary 049</t>
  </si>
  <si>
    <t>BK Sojky Pelhřimov 045</t>
  </si>
  <si>
    <t>BC Kolín "B" 046</t>
  </si>
  <si>
    <t>BC Kolín B 17188</t>
  </si>
  <si>
    <t>Sokol Nusle 106</t>
  </si>
  <si>
    <t>BK Strakonice B 17605</t>
  </si>
  <si>
    <t>F1, S1</t>
  </si>
  <si>
    <t>Tygři Praha B 033</t>
  </si>
  <si>
    <t>Nymburk-BN-Brandýs 001-003</t>
  </si>
  <si>
    <t>BC Benešov Ž 2x 011,031</t>
  </si>
  <si>
    <t>BC Benešov M 2x 011,031</t>
  </si>
  <si>
    <t>Ne 17. 1.</t>
  </si>
  <si>
    <t>BK Český Brod 087</t>
  </si>
  <si>
    <t>DBaK 054</t>
  </si>
  <si>
    <t>BC Kolín "B" 048</t>
  </si>
  <si>
    <t>BK Sojky Pelhřimov 049</t>
  </si>
  <si>
    <t>BC Kolín A 17194</t>
  </si>
  <si>
    <t>Studánka Pardubice 110</t>
  </si>
  <si>
    <t>BK Klatovy 17612</t>
  </si>
  <si>
    <t>Basket Slovanka B 035</t>
  </si>
  <si>
    <t>St 20. 1.</t>
  </si>
  <si>
    <t>FD, SD</t>
  </si>
  <si>
    <t>So 23. 1.</t>
  </si>
  <si>
    <t>BK Mělník 046</t>
  </si>
  <si>
    <t>Tigers České Budějovice 19273</t>
  </si>
  <si>
    <t>Slavi Tygři Praha 049</t>
  </si>
  <si>
    <t>DBaK 051</t>
  </si>
  <si>
    <t>Basketbal Újezd nad Lesy 088</t>
  </si>
  <si>
    <t>BK Mělník 033</t>
  </si>
  <si>
    <t>Nymburk-Brandýs-BN 004-006</t>
  </si>
  <si>
    <t>Sokol Nehvizdy 078</t>
  </si>
  <si>
    <t>ŠBK Sadská kval. 005</t>
  </si>
  <si>
    <t>Ne 24. 1.</t>
  </si>
  <si>
    <t>AŠ Mladá Boleslav "B" 049</t>
  </si>
  <si>
    <t>BK Lions Jindřichův Hradec 19277</t>
  </si>
  <si>
    <t>BK Lokomotiva Plzeň 053</t>
  </si>
  <si>
    <t>SKB Rokycany 056</t>
  </si>
  <si>
    <t>Sokol Pečky 092</t>
  </si>
  <si>
    <t>Sokol Nusle 084</t>
  </si>
  <si>
    <t>ŠBK Sadská kval. 007</t>
  </si>
  <si>
    <t>St 27. 1.</t>
  </si>
  <si>
    <t>So 30. 1.</t>
  </si>
  <si>
    <t>Ne 31. 1.</t>
  </si>
  <si>
    <t>únor</t>
  </si>
  <si>
    <t>So 6. 2.</t>
  </si>
  <si>
    <t>AŠ Mladá Boleslav 091</t>
  </si>
  <si>
    <t>Slavoj Český Brod 053</t>
  </si>
  <si>
    <t>BK Brandýs B 052</t>
  </si>
  <si>
    <t>AŠ Mladá Boleslav 17196</t>
  </si>
  <si>
    <t>Sokol Nusle B 17620</t>
  </si>
  <si>
    <t>F2, S2</t>
  </si>
  <si>
    <t>BA Roudnice 038</t>
  </si>
  <si>
    <t>TJ Sokol Smíchov 2x 025,061</t>
  </si>
  <si>
    <t>BK Mělník 2x 013, 033</t>
  </si>
  <si>
    <t>Sokol Kladno 2x 026,64</t>
  </si>
  <si>
    <t>TJ AŠ Mladá Boleslav 2x 014,034</t>
  </si>
  <si>
    <t>Ne 7. 2.</t>
  </si>
  <si>
    <t>BK Brandýs n.L. "B" 096</t>
  </si>
  <si>
    <t>BK Brandýs B 056</t>
  </si>
  <si>
    <t>Slavoj Český Brod 057</t>
  </si>
  <si>
    <t>Basket Poděbrady B 17202</t>
  </si>
  <si>
    <t>Porg Basket 17626</t>
  </si>
  <si>
    <t>Kralupy Junior 040</t>
  </si>
  <si>
    <t>So 13. 2.</t>
  </si>
  <si>
    <t>TJ Sokol Nehvizdy 051</t>
  </si>
  <si>
    <t>Basketbal Újezd nad Lesy 041</t>
  </si>
  <si>
    <t>TJ AŠ Mladá Boleslav 2x 034,079</t>
  </si>
  <si>
    <t>BK Brandýs 086</t>
  </si>
  <si>
    <t>Ne 14. 2.</t>
  </si>
  <si>
    <t>BK Sadská 055</t>
  </si>
  <si>
    <t>BK Příbram 2000 098</t>
  </si>
  <si>
    <t>TJ AŠ Mladá Boleslav 092</t>
  </si>
  <si>
    <t>So 20. 2.</t>
  </si>
  <si>
    <t>Sokol Nové Strašecí 106</t>
  </si>
  <si>
    <t>BK Kralupy Junior 060</t>
  </si>
  <si>
    <t>BC Slaný 061</t>
  </si>
  <si>
    <t>Sokol Žižkov B 17213</t>
  </si>
  <si>
    <t>BC Slaný 17627</t>
  </si>
  <si>
    <t>F3, S3</t>
  </si>
  <si>
    <t>BK Mělník 2x 032,068</t>
  </si>
  <si>
    <t>BC Slaný 2x 016,036</t>
  </si>
  <si>
    <t>Sokol Nusle 2x 058, 086</t>
  </si>
  <si>
    <t>Ne 21. 2.</t>
  </si>
  <si>
    <t>BK Kladno "B" 111</t>
  </si>
  <si>
    <t>BC Slaný 065</t>
  </si>
  <si>
    <t>BK Kralupy Junior 064</t>
  </si>
  <si>
    <t>Jižní Supi B 17218</t>
  </si>
  <si>
    <t>BCM Sokolov 17634</t>
  </si>
  <si>
    <t>So 27. 2.</t>
  </si>
  <si>
    <t>Sokol Nusle B 105</t>
  </si>
  <si>
    <t>BK Kralupy Junior 101</t>
  </si>
  <si>
    <t>BK Příbram 2000 2x 019,040</t>
  </si>
  <si>
    <t>Ne 28. 2.</t>
  </si>
  <si>
    <t>Basket Říčany 110</t>
  </si>
  <si>
    <t>BC Slaný 108</t>
  </si>
  <si>
    <t>březen</t>
  </si>
  <si>
    <t>So 6. 3.</t>
  </si>
  <si>
    <t>Sokol Kutná Hora 059</t>
  </si>
  <si>
    <t>BK Český Brod 043</t>
  </si>
  <si>
    <t>NBK Milovice 2x 034,083</t>
  </si>
  <si>
    <t>BC Slaný kval. 005</t>
  </si>
  <si>
    <t>BK Mělník 2x 018,038</t>
  </si>
  <si>
    <t>Ne 7. 3.</t>
  </si>
  <si>
    <t>Slavoj Český Brod "B" 062</t>
  </si>
  <si>
    <t>NBK Milovice 045</t>
  </si>
  <si>
    <t>BC Slaný kval. 007</t>
  </si>
  <si>
    <t>So 13. 3.</t>
  </si>
  <si>
    <t>BK Beroun 129</t>
  </si>
  <si>
    <t>BA Lynx Liberecko B 17223</t>
  </si>
  <si>
    <t>Válečnice Děčín B 17644</t>
  </si>
  <si>
    <t>F1´, S1</t>
  </si>
  <si>
    <t>F1´, S1´</t>
  </si>
  <si>
    <t>Brandýs-Nymburk-BN 004-006</t>
  </si>
  <si>
    <t>ŠBK Sadská kval. 003</t>
  </si>
  <si>
    <t>Ne 14. 3.</t>
  </si>
  <si>
    <t>BK Příbram 2000 134</t>
  </si>
  <si>
    <t>BC Benešov "C" 069</t>
  </si>
  <si>
    <t>BC Benešov "B" 069</t>
  </si>
  <si>
    <t>TJ Slovan Varnsdorf B 17228</t>
  </si>
  <si>
    <t>BK Teplice 17650</t>
  </si>
  <si>
    <t>BC Slaný kval. 004</t>
  </si>
  <si>
    <t>St 17. 3.</t>
  </si>
  <si>
    <t>FD´, SD´</t>
  </si>
  <si>
    <t>So 20. 3.</t>
  </si>
  <si>
    <t>BK Brandýs 113</t>
  </si>
  <si>
    <t>Basket Poděbrady 049</t>
  </si>
  <si>
    <t>Brandýs-BN-Nymburk 007-009</t>
  </si>
  <si>
    <t>BK Brandýs kval. 009</t>
  </si>
  <si>
    <t>BC Slaný kval. 010</t>
  </si>
  <si>
    <t>Ne 21. 3.</t>
  </si>
  <si>
    <t>TJ TZ Rakovník 072</t>
  </si>
  <si>
    <t>BC Wizard 117</t>
  </si>
  <si>
    <t>ŠBK Sadská kval. 012</t>
  </si>
  <si>
    <t>BK Brandýs nad Labem kval. 011</t>
  </si>
  <si>
    <t>St 24. 3.</t>
  </si>
  <si>
    <t>FD´,SD´</t>
  </si>
  <si>
    <t>So 27. 3.</t>
  </si>
  <si>
    <t>Ne 28. 3.</t>
  </si>
  <si>
    <t>duben</t>
  </si>
  <si>
    <t>So 3. 4.</t>
  </si>
  <si>
    <t>Basket Poděbrady "B" 136</t>
  </si>
  <si>
    <t>ČF</t>
  </si>
  <si>
    <t>Basketbal Újezd nad Lesy 17235</t>
  </si>
  <si>
    <t>F4, S4</t>
  </si>
  <si>
    <t>BC Wizards 17654</t>
  </si>
  <si>
    <t>F2´, S2´</t>
  </si>
  <si>
    <t>BN-Brandýs-Nymburk 007-009</t>
  </si>
  <si>
    <t>TJ AŠ Mladá Boleslav 2x 020,040</t>
  </si>
  <si>
    <t>BC Slaný 2x 019,039</t>
  </si>
  <si>
    <t>Ne 4. 4.</t>
  </si>
  <si>
    <t>BC Real Réma Nymbuk 141</t>
  </si>
  <si>
    <t>BA Radotín 17240</t>
  </si>
  <si>
    <t>Basketbal Újezd nad Lesy 17660</t>
  </si>
  <si>
    <t>So 10. 4.</t>
  </si>
  <si>
    <t>F4. S4</t>
  </si>
  <si>
    <t>TJ Sokol Pečky 2x 043, 088</t>
  </si>
  <si>
    <t>HB Basket 111</t>
  </si>
  <si>
    <t>1-4,5-7</t>
  </si>
  <si>
    <t>Ne 11. 4.</t>
  </si>
  <si>
    <t>BK Mělník 056</t>
  </si>
  <si>
    <t>Sokol Kladno 118</t>
  </si>
  <si>
    <t>So 17. 4.</t>
  </si>
  <si>
    <t>BK Kralupy Junior 150</t>
  </si>
  <si>
    <t>SF</t>
  </si>
  <si>
    <t>F4</t>
  </si>
  <si>
    <t>F5, S5</t>
  </si>
  <si>
    <t>F3´, S3´</t>
  </si>
  <si>
    <t>1-3,4-5</t>
  </si>
  <si>
    <t>1-2,3-4,5-6,7-8</t>
  </si>
  <si>
    <t>Ne 18. 4.</t>
  </si>
  <si>
    <t>ŠSK Slaný 154</t>
  </si>
  <si>
    <t>So 24. 4.</t>
  </si>
  <si>
    <t>Basketbal Újezd nad Lesy 061</t>
  </si>
  <si>
    <t>ŠBK Sadská 123</t>
  </si>
  <si>
    <t>Ne 25. 4.</t>
  </si>
  <si>
    <t>BC Kolín 130</t>
  </si>
  <si>
    <t>květen</t>
  </si>
  <si>
    <t>So 1. 5.</t>
  </si>
  <si>
    <t>F</t>
  </si>
  <si>
    <t>F6, S6</t>
  </si>
  <si>
    <t>Ne 2. 5.</t>
  </si>
  <si>
    <t>So 8. 5.</t>
  </si>
  <si>
    <t>Ne 9. 5.</t>
  </si>
  <si>
    <t>So 15. 5.</t>
  </si>
  <si>
    <t>Ne 16. 5.</t>
  </si>
  <si>
    <t>So 22. 5.</t>
  </si>
  <si>
    <t>Ne 23. 5.</t>
  </si>
  <si>
    <t>So 29. 5.</t>
  </si>
  <si>
    <t>Ne 30. 5.</t>
  </si>
  <si>
    <t>červen</t>
  </si>
  <si>
    <t>So 5. 6.</t>
  </si>
  <si>
    <t>Ne 6. 6.</t>
  </si>
  <si>
    <t>So 12. 6.</t>
  </si>
  <si>
    <t>Ne 13. 6.</t>
  </si>
  <si>
    <t>=domácí zápasy</t>
  </si>
  <si>
    <t>Přehled termínů podle družstev • sezóna 2026/2027</t>
  </si>
  <si>
    <t>MĚSÍC</t>
  </si>
  <si>
    <t>DATUM</t>
  </si>
  <si>
    <t>LEGENDA</t>
  </si>
  <si>
    <t>Dospělí</t>
  </si>
  <si>
    <t>Starší mládež</t>
  </si>
  <si>
    <t>Žactvo</t>
  </si>
  <si>
    <t>Minibasketbal</t>
  </si>
  <si>
    <t>Šedé a žluté zvýraznění bylo zachováno z původního rozpisu. Podrobnosti, časy, místa a poznámky lze doplňovat v listu Seznam zápasů.</t>
  </si>
  <si>
    <t>SEZNAM VŠECH ZÁPASŮ • BC BENEŠOV 2026/2027</t>
  </si>
  <si>
    <t>Družstva</t>
  </si>
  <si>
    <t>Filtrujte podle data, družstva, soutěže nebo stavu. Pole Čas, Místo a Poznámka jsou připravena k doplnění.</t>
  </si>
  <si>
    <t>Datum</t>
  </si>
  <si>
    <t>Den</t>
  </si>
  <si>
    <t>Družstvo</t>
  </si>
  <si>
    <t>Soutěž</t>
  </si>
  <si>
    <t>Soupeř / fáze</t>
  </si>
  <si>
    <t>Číslo utkání</t>
  </si>
  <si>
    <t>Čas</t>
  </si>
  <si>
    <t>Místo</t>
  </si>
  <si>
    <t>Poznámka</t>
  </si>
  <si>
    <t>Stav</t>
  </si>
  <si>
    <t>Čt</t>
  </si>
  <si>
    <t>Sokol Nusle</t>
  </si>
  <si>
    <t>006</t>
  </si>
  <si>
    <t>So</t>
  </si>
  <si>
    <t>Slavoj Český Brod</t>
  </si>
  <si>
    <t>2x 004, 049</t>
  </si>
  <si>
    <t>Ne</t>
  </si>
  <si>
    <t>Sokol Nehvizdy</t>
  </si>
  <si>
    <t>011</t>
  </si>
  <si>
    <t>BK Kladno</t>
  </si>
  <si>
    <t>091</t>
  </si>
  <si>
    <t>BC Kolín A</t>
  </si>
  <si>
    <t>17116</t>
  </si>
  <si>
    <t>Sojky Pelhřimov</t>
  </si>
  <si>
    <t>064</t>
  </si>
  <si>
    <t>BK Klatovy</t>
  </si>
  <si>
    <t>17534</t>
  </si>
  <si>
    <t>BA Nymburk</t>
  </si>
  <si>
    <t>2x 004,040</t>
  </si>
  <si>
    <t>BK Český Brod</t>
  </si>
  <si>
    <t>004</t>
  </si>
  <si>
    <t>BK Brandýs</t>
  </si>
  <si>
    <t>096</t>
  </si>
  <si>
    <t>Vlčice Žďár</t>
  </si>
  <si>
    <t>122</t>
  </si>
  <si>
    <t>Basket Říčany</t>
  </si>
  <si>
    <t>002</t>
  </si>
  <si>
    <t>BK Lvice Litoměřice</t>
  </si>
  <si>
    <t>BK Příbram 2000</t>
  </si>
  <si>
    <t>BC Kolín B</t>
  </si>
  <si>
    <t>17123</t>
  </si>
  <si>
    <t>06</t>
  </si>
  <si>
    <t>BK Strakonice B</t>
  </si>
  <si>
    <t>17540</t>
  </si>
  <si>
    <t>ŠBK Sadská</t>
  </si>
  <si>
    <t>2x 004,032</t>
  </si>
  <si>
    <t>BC Slaný</t>
  </si>
  <si>
    <t>030</t>
  </si>
  <si>
    <t>BC Kolín</t>
  </si>
  <si>
    <t>009</t>
  </si>
  <si>
    <t>Jižní Supi</t>
  </si>
  <si>
    <t>099</t>
  </si>
  <si>
    <t>124</t>
  </si>
  <si>
    <t>BA Roudnice</t>
  </si>
  <si>
    <t>007</t>
  </si>
  <si>
    <t>BK Medvědi Tábor</t>
  </si>
  <si>
    <t>19226</t>
  </si>
  <si>
    <t>2x 004,052</t>
  </si>
  <si>
    <t>Basket Poděbrady</t>
  </si>
  <si>
    <t>2x 003, 024</t>
  </si>
  <si>
    <t>TJ AŠ Mladá Boleslav</t>
  </si>
  <si>
    <t>014</t>
  </si>
  <si>
    <t>BK Příbram 2000 "B"</t>
  </si>
  <si>
    <t>001</t>
  </si>
  <si>
    <t>Tigers České Budějovice</t>
  </si>
  <si>
    <t>USK Praha</t>
  </si>
  <si>
    <t>Bižu Jablonecko B</t>
  </si>
  <si>
    <t>032</t>
  </si>
  <si>
    <t>19254</t>
  </si>
  <si>
    <t>NBK Milovice</t>
  </si>
  <si>
    <t>019</t>
  </si>
  <si>
    <t>BK Levhartice Chomutov</t>
  </si>
  <si>
    <t>10</t>
  </si>
  <si>
    <t>AŠ Mladá Boleslav</t>
  </si>
  <si>
    <t>026</t>
  </si>
  <si>
    <t>Basket Poděbrady B</t>
  </si>
  <si>
    <t>17124</t>
  </si>
  <si>
    <t>HB Basket Praha B</t>
  </si>
  <si>
    <t>072</t>
  </si>
  <si>
    <t>PORG Basket</t>
  </si>
  <si>
    <t>17548</t>
  </si>
  <si>
    <t>BC Benešov Ž</t>
  </si>
  <si>
    <t>2x 001,021</t>
  </si>
  <si>
    <t>2x 005,041</t>
  </si>
  <si>
    <t>BC Benešov M</t>
  </si>
  <si>
    <t>2x 01,021</t>
  </si>
  <si>
    <t>2x 005,033</t>
  </si>
  <si>
    <t>BK Brandýs n.L. "B"</t>
  </si>
  <si>
    <t>013</t>
  </si>
  <si>
    <t>Slavia Tygři Praha B</t>
  </si>
  <si>
    <t>102</t>
  </si>
  <si>
    <t>Žabiny Brno</t>
  </si>
  <si>
    <t>127</t>
  </si>
  <si>
    <t>Slovan Varnsdorf</t>
  </si>
  <si>
    <t>BA Louny</t>
  </si>
  <si>
    <t>BC Kolín "B"</t>
  </si>
  <si>
    <t>008</t>
  </si>
  <si>
    <t>BK Sojky Pelhřimov</t>
  </si>
  <si>
    <t>17131</t>
  </si>
  <si>
    <t>075</t>
  </si>
  <si>
    <t>Sokol Nusle B</t>
  </si>
  <si>
    <t>17553</t>
  </si>
  <si>
    <t>018</t>
  </si>
  <si>
    <t>Slavia Tygři Praha</t>
  </si>
  <si>
    <t>104</t>
  </si>
  <si>
    <t>Žabiny Brno B</t>
  </si>
  <si>
    <t>130</t>
  </si>
  <si>
    <t>Sokol Kladno</t>
  </si>
  <si>
    <t>012</t>
  </si>
  <si>
    <t>Radotínský SK</t>
  </si>
  <si>
    <t>19231</t>
  </si>
  <si>
    <t>2x 015,060</t>
  </si>
  <si>
    <t>2x 005,026</t>
  </si>
  <si>
    <t>AŠ Mladá Boleslav "B"</t>
  </si>
  <si>
    <t>010</t>
  </si>
  <si>
    <t>015</t>
  </si>
  <si>
    <t>016</t>
  </si>
  <si>
    <t>Sokol Pečky</t>
  </si>
  <si>
    <t>043</t>
  </si>
  <si>
    <t>19235</t>
  </si>
  <si>
    <t>BK Mělník</t>
  </si>
  <si>
    <t>TJ Sokol Kbely</t>
  </si>
  <si>
    <t>020</t>
  </si>
  <si>
    <t>BK Strakonice</t>
  </si>
  <si>
    <t>Basketbal Újezd nad Lesy</t>
  </si>
  <si>
    <t>048</t>
  </si>
  <si>
    <t>Jižní Supi B</t>
  </si>
  <si>
    <t>17140</t>
  </si>
  <si>
    <t>Studánka Pardubice</t>
  </si>
  <si>
    <t>078</t>
  </si>
  <si>
    <t>BCM Sokolov</t>
  </si>
  <si>
    <t>17556</t>
  </si>
  <si>
    <t>2x 002,022</t>
  </si>
  <si>
    <t>2x 011, 047</t>
  </si>
  <si>
    <t>TJ AŚ Mladá Boleslav</t>
  </si>
  <si>
    <t>2x 004,024</t>
  </si>
  <si>
    <t>2x 012,040</t>
  </si>
  <si>
    <t>Sokol Nové Strašecí</t>
  </si>
  <si>
    <t>028</t>
  </si>
  <si>
    <t>BA Radotín</t>
  </si>
  <si>
    <t>085</t>
  </si>
  <si>
    <t>131</t>
  </si>
  <si>
    <t>Basket Slovanka B</t>
  </si>
  <si>
    <t>DBaK</t>
  </si>
  <si>
    <t>022</t>
  </si>
  <si>
    <t>BK Brandýs "B"</t>
  </si>
  <si>
    <t>017</t>
  </si>
  <si>
    <t>Sokol Žižkov B</t>
  </si>
  <si>
    <t>17146</t>
  </si>
  <si>
    <t>082</t>
  </si>
  <si>
    <t>17562</t>
  </si>
  <si>
    <t>BK Kladno "B"</t>
  </si>
  <si>
    <t>033</t>
  </si>
  <si>
    <t>106</t>
  </si>
  <si>
    <t>Tygři Praha B</t>
  </si>
  <si>
    <t>Lokomotiva Karlovy Vary</t>
  </si>
  <si>
    <t>025</t>
  </si>
  <si>
    <t>021</t>
  </si>
  <si>
    <t>BK Sojky Pelhřimov C</t>
  </si>
  <si>
    <t>19239</t>
  </si>
  <si>
    <t>Pandy Čelákovice</t>
  </si>
  <si>
    <t>2x 016, 061</t>
  </si>
  <si>
    <t>BK Brandýs nad Labem</t>
  </si>
  <si>
    <t>2x 008,027</t>
  </si>
  <si>
    <t>040</t>
  </si>
  <si>
    <t>BK Sadská</t>
  </si>
  <si>
    <t>BK Lokomotiva Plzeň</t>
  </si>
  <si>
    <t>SKB Rokycany</t>
  </si>
  <si>
    <t>024</t>
  </si>
  <si>
    <t>049</t>
  </si>
  <si>
    <t>TJ Třebíč</t>
  </si>
  <si>
    <t>19244</t>
  </si>
  <si>
    <t>HB Basket</t>
  </si>
  <si>
    <t>045</t>
  </si>
  <si>
    <t>TJ Sokol Nehvizdy</t>
  </si>
  <si>
    <t>Slavi Tygři Praha</t>
  </si>
  <si>
    <t>027</t>
  </si>
  <si>
    <t>Slovan Varnsdorf B</t>
  </si>
  <si>
    <t>17150</t>
  </si>
  <si>
    <t>058</t>
  </si>
  <si>
    <t>BK Teplice</t>
  </si>
  <si>
    <t>17572</t>
  </si>
  <si>
    <t>2x 006,26</t>
  </si>
  <si>
    <t>BK Beroun</t>
  </si>
  <si>
    <t>2x 014, 050</t>
  </si>
  <si>
    <t>2x 014,042</t>
  </si>
  <si>
    <t>109</t>
  </si>
  <si>
    <t>Kralupy Junior</t>
  </si>
  <si>
    <t>BK Kralupy Junior</t>
  </si>
  <si>
    <t>BA Lynx Liberecko B</t>
  </si>
  <si>
    <t>17157</t>
  </si>
  <si>
    <t>086</t>
  </si>
  <si>
    <t>Válečnice Děčín B</t>
  </si>
  <si>
    <t>17578</t>
  </si>
  <si>
    <t>139</t>
  </si>
  <si>
    <t>029</t>
  </si>
  <si>
    <t>BK Lions Jindřichův Hradec</t>
  </si>
  <si>
    <t>19245</t>
  </si>
  <si>
    <t>2x 025,070</t>
  </si>
  <si>
    <t>2x 012,033</t>
  </si>
  <si>
    <t>052</t>
  </si>
  <si>
    <t>Slavoj Český Brod "B"</t>
  </si>
  <si>
    <t>HB Basket Praha</t>
  </si>
  <si>
    <t>061</t>
  </si>
  <si>
    <t>19249</t>
  </si>
  <si>
    <t>Sokol Kutná Hora</t>
  </si>
  <si>
    <t>065</t>
  </si>
  <si>
    <t>17162</t>
  </si>
  <si>
    <t>092</t>
  </si>
  <si>
    <t>17582</t>
  </si>
  <si>
    <t>2x 018,054</t>
  </si>
  <si>
    <t>2x 008,028</t>
  </si>
  <si>
    <t>2x 019, 047</t>
  </si>
  <si>
    <t>051</t>
  </si>
  <si>
    <t>111</t>
  </si>
  <si>
    <t>142</t>
  </si>
  <si>
    <t>023</t>
  </si>
  <si>
    <t>BC Benešov "C"</t>
  </si>
  <si>
    <t>BC Benešov "B"</t>
  </si>
  <si>
    <t>17168</t>
  </si>
  <si>
    <t>BC Wizards</t>
  </si>
  <si>
    <t>17587</t>
  </si>
  <si>
    <t>036</t>
  </si>
  <si>
    <t>056</t>
  </si>
  <si>
    <t>120</t>
  </si>
  <si>
    <t>144</t>
  </si>
  <si>
    <t>038</t>
  </si>
  <si>
    <t>BC Real Réma Nymbuk</t>
  </si>
  <si>
    <t>Basket Poděbrady "B"</t>
  </si>
  <si>
    <t>063</t>
  </si>
  <si>
    <t>19259</t>
  </si>
  <si>
    <t>2x 027, 072</t>
  </si>
  <si>
    <t>2x 013, 034</t>
  </si>
  <si>
    <t>BK Pelhřimov</t>
  </si>
  <si>
    <t>TJ TZ Rakovník</t>
  </si>
  <si>
    <t>031</t>
  </si>
  <si>
    <t>035</t>
  </si>
  <si>
    <t>Levhartice Chomutov</t>
  </si>
  <si>
    <t>034</t>
  </si>
  <si>
    <t>BC Wizard</t>
  </si>
  <si>
    <t>068</t>
  </si>
  <si>
    <t>19263</t>
  </si>
  <si>
    <t>070</t>
  </si>
  <si>
    <t>039</t>
  </si>
  <si>
    <t>BK Brandýs B</t>
  </si>
  <si>
    <t>073</t>
  </si>
  <si>
    <t>17175</t>
  </si>
  <si>
    <t>17592</t>
  </si>
  <si>
    <t>2x 010,030</t>
  </si>
  <si>
    <t>2x 023,059</t>
  </si>
  <si>
    <t>2x 009,029</t>
  </si>
  <si>
    <t>2x 023,051</t>
  </si>
  <si>
    <t>ŠSK Slaný</t>
  </si>
  <si>
    <t>071</t>
  </si>
  <si>
    <t>042</t>
  </si>
  <si>
    <t>17181</t>
  </si>
  <si>
    <t>17598</t>
  </si>
  <si>
    <t>076</t>
  </si>
  <si>
    <t>126</t>
  </si>
  <si>
    <t>148</t>
  </si>
  <si>
    <t>19268</t>
  </si>
  <si>
    <t>BK Brandýs nad Labem kval.</t>
  </si>
  <si>
    <t>ŠBK Sadská kval.</t>
  </si>
  <si>
    <t>044</t>
  </si>
  <si>
    <t>19271</t>
  </si>
  <si>
    <t>BC Slaný kval.</t>
  </si>
  <si>
    <t>003</t>
  </si>
  <si>
    <t>BK Brandýs kval.</t>
  </si>
  <si>
    <t>047</t>
  </si>
  <si>
    <t>081</t>
  </si>
  <si>
    <t>17188</t>
  </si>
  <si>
    <t>17605</t>
  </si>
  <si>
    <t>2x 011,031</t>
  </si>
  <si>
    <t>046</t>
  </si>
  <si>
    <t>17194</t>
  </si>
  <si>
    <t>110</t>
  </si>
  <si>
    <t>17612</t>
  </si>
  <si>
    <t>087</t>
  </si>
  <si>
    <t>054</t>
  </si>
  <si>
    <t>St</t>
  </si>
  <si>
    <t>19273</t>
  </si>
  <si>
    <t>005</t>
  </si>
  <si>
    <t>088</t>
  </si>
  <si>
    <t>19277</t>
  </si>
  <si>
    <t>084</t>
  </si>
  <si>
    <t>053</t>
  </si>
  <si>
    <t>17196</t>
  </si>
  <si>
    <t>17620</t>
  </si>
  <si>
    <t>2x 013, 033</t>
  </si>
  <si>
    <t>TJ Sokol Smíchov</t>
  </si>
  <si>
    <t>2x 025,061</t>
  </si>
  <si>
    <t>2x 014,034</t>
  </si>
  <si>
    <t>2x 026,64</t>
  </si>
  <si>
    <t>17202</t>
  </si>
  <si>
    <t>Porg Basket</t>
  </si>
  <si>
    <t>17626</t>
  </si>
  <si>
    <t>057</t>
  </si>
  <si>
    <t>2x 034,079</t>
  </si>
  <si>
    <t>041</t>
  </si>
  <si>
    <t>055</t>
  </si>
  <si>
    <t>098</t>
  </si>
  <si>
    <t>17213</t>
  </si>
  <si>
    <t>17627</t>
  </si>
  <si>
    <t>2x 016,036</t>
  </si>
  <si>
    <t>2x 032,068</t>
  </si>
  <si>
    <t>2x 058, 086</t>
  </si>
  <si>
    <t>060</t>
  </si>
  <si>
    <t>17218</t>
  </si>
  <si>
    <t>17634</t>
  </si>
  <si>
    <t>2x 019,040</t>
  </si>
  <si>
    <t>101</t>
  </si>
  <si>
    <t>105</t>
  </si>
  <si>
    <t>108</t>
  </si>
  <si>
    <t>2x 034,083</t>
  </si>
  <si>
    <t>2x 018,038</t>
  </si>
  <si>
    <t>059</t>
  </si>
  <si>
    <t>062</t>
  </si>
  <si>
    <t>17223</t>
  </si>
  <si>
    <t>17644</t>
  </si>
  <si>
    <t>129</t>
  </si>
  <si>
    <t>TJ Slovan Varnsdorf B</t>
  </si>
  <si>
    <t>17228</t>
  </si>
  <si>
    <t>17650</t>
  </si>
  <si>
    <t>134</t>
  </si>
  <si>
    <t>069</t>
  </si>
  <si>
    <t>113</t>
  </si>
  <si>
    <t>117</t>
  </si>
  <si>
    <t>17235</t>
  </si>
  <si>
    <t>17654</t>
  </si>
  <si>
    <t>2x 020,040</t>
  </si>
  <si>
    <t>2x 019,039</t>
  </si>
  <si>
    <t>136</t>
  </si>
  <si>
    <t>17240</t>
  </si>
  <si>
    <t>17660</t>
  </si>
  <si>
    <t>141</t>
  </si>
  <si>
    <t>TJ Sokol Pečky</t>
  </si>
  <si>
    <t>2x 043, 088</t>
  </si>
  <si>
    <t>118</t>
  </si>
  <si>
    <t>150</t>
  </si>
  <si>
    <t>154</t>
  </si>
  <si>
    <t>123</t>
  </si>
  <si>
    <t>ROZPIS PODLE DRUŽSTVA</t>
  </si>
  <si>
    <t>Vyberte družstvo. Přehled se automaticky přepočítá, minulá utkání zešednou a nejbližší zápas se zvýrazní žlutě.</t>
  </si>
  <si>
    <t>Zobrazit</t>
  </si>
  <si>
    <t>Všechny zápasy</t>
  </si>
  <si>
    <t>Rozsah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</si>
</sst>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\.\ m\.\ yyyy"/>
  </numFmts>
  <fonts count="22" x14ac:knownFonts="1">
    <font>
      <sz val="10"/>
      <name val="Arial CE"/>
    </font>
    <font>
      <sz val="10"/>
      <name val="Arial CE"/>
    </font>
    <font>
      <i/>
      <sz val="10"/>
      <name val="Arial CE"/>
    </font>
    <font>
      <b/>
      <sz val="20"/>
      <color rgb="FFFFFFFF"/>
      <name val="Aptos Display"/>
      <family val="2"/>
    </font>
    <font>
      <i/>
      <sz val="10"/>
      <color rgb="FF334155"/>
      <name val="Aptos"/>
      <family val="2"/>
    </font>
    <font>
      <b/>
      <sz val="10"/>
      <color rgb="FFFFFFFF"/>
      <name val="Aptos"/>
      <family val="2"/>
    </font>
    <font>
      <b/>
      <sz val="9"/>
      <color rgb="FF24364B"/>
      <name val="Aptos"/>
      <family val="2"/>
    </font>
    <font>
      <b/>
      <sz val="9"/>
      <color rgb="FFFFFFFF"/>
      <name val="Aptos"/>
      <family val="2"/>
    </font>
    <font>
      <sz val="9"/>
      <color rgb="FF1F2937"/>
      <name val="Aptos"/>
      <family val="2"/>
    </font>
    <font>
      <b/>
      <sz val="10"/>
      <color rgb="FF0F2747"/>
      <name val="Aptos"/>
      <family val="2"/>
    </font>
    <font>
      <b/>
      <sz val="9"/>
      <color rgb="FF382F00"/>
      <name val="Aptos"/>
      <family val="2"/>
    </font>
    <font>
      <i/>
      <sz val="9"/>
      <color rgb="FF475569"/>
      <name val="Aptos"/>
      <family val="2"/>
    </font>
    <font>
      <b/>
      <i/>
      <sz val="9"/>
      <color rgb="FF475569"/>
      <name val="Aptos"/>
      <family val="2"/>
    </font>
    <font>
      <b/>
      <sz val="18"/>
      <color rgb="FFFFFFFF"/>
      <name val="Aptos Display"/>
      <family val="2"/>
    </font>
    <font>
      <i/>
      <sz val="10"/>
      <color rgb="FF475569"/>
      <name val="Aptos"/>
      <family val="2"/>
    </font>
    <font>
      <sz val="10"/>
      <color rgb="FF1F2937"/>
      <name val="Aptos"/>
      <family val="2"/>
    </font>
    <font>
      <sz val="9"/>
      <color rgb="FF64748B"/>
      <name val="Aptos"/>
      <family val="2"/>
    </font>
    <font>
      <b/>
      <sz val="8"/>
      <color rgb="FF24364B"/>
      <name val="Aptos"/>
      <family val="2"/>
    </font>
    <font>
      <sz val="9"/>
      <color rgb="FF334155"/>
      <name val="Aptos"/>
      <family val="2"/>
    </font>
    <font>
      <b/>
      <sz val="11"/>
      <color rgb="FF0F2747"/>
      <name val="Aptos"/>
      <family val="2"/>
    </font>
    <font>
      <b/>
      <sz val="10"/>
      <color rgb="FFFFFFFF"/>
      <name val="Arial CE"/>
    </font>
    <font>
      <b/>
      <sz val="10"/>
      <color rgb="FF0F2747"/>
      <name val="Arial CE"/>
    </font>
  </fonts>
  <fills count="27">
    <fill>
      <patternFill patternType="none"/>
    </fill>
    <fill>
      <patternFill patternType="gray125"/>
    </fill>
    <fill>
      <patternFill patternType="solid">
        <fgColor theme="0" tint="-0.49995422223578601"/>
        <bgColor indexed="65"/>
      </patternFill>
    </fill>
    <fill>
      <patternFill patternType="solid">
        <fgColor rgb="FFA2A2A2"/>
      </patternFill>
    </fill>
    <fill>
      <patternFill patternType="solid">
        <fgColor rgb="FF0F2747"/>
      </patternFill>
    </fill>
    <fill>
      <patternFill patternType="solid">
        <fgColor rgb="FFEAF0F7"/>
      </patternFill>
    </fill>
    <fill>
      <patternFill patternType="solid">
        <fgColor rgb="FF1F4E78"/>
      </patternFill>
    </fill>
    <fill>
      <patternFill patternType="solid">
        <fgColor rgb="FFDCEAF5"/>
      </patternFill>
    </fill>
    <fill>
      <patternFill patternType="solid">
        <fgColor rgb="FF6941A5"/>
      </patternFill>
    </fill>
    <fill>
      <patternFill patternType="solid">
        <fgColor rgb="FFE9E0F5"/>
      </patternFill>
    </fill>
    <fill>
      <patternFill patternType="solid">
        <fgColor rgb="FF147D6F"/>
      </patternFill>
    </fill>
    <fill>
      <patternFill patternType="solid">
        <fgColor rgb="FFDDF1ED"/>
      </patternFill>
    </fill>
    <fill>
      <patternFill patternType="solid">
        <fgColor rgb="FFB76A00"/>
      </patternFill>
    </fill>
    <fill>
      <patternFill patternType="solid">
        <fgColor rgb="FFFFF0D5"/>
      </patternFill>
    </fill>
    <fill>
      <patternFill patternType="solid">
        <fgColor rgb="FF334155"/>
      </patternFill>
    </fill>
    <fill>
      <patternFill patternType="solid">
        <fgColor rgb="FFF1F5F9"/>
      </patternFill>
    </fill>
    <fill>
      <patternFill patternType="solid">
        <fgColor rgb="FFF8FAFC"/>
      </patternFill>
    </fill>
    <fill>
      <patternFill patternType="solid">
        <fgColor rgb="FFFFD24A"/>
      </patternFill>
    </fill>
    <fill>
      <patternFill patternType="solid">
        <fgColor rgb="FF334155"/>
      </patternFill>
    </fill>
    <fill>
      <patternFill patternType="solid">
        <fgColor rgb="FF1F4E78"/>
      </patternFill>
    </fill>
    <fill>
      <patternFill patternType="solid">
        <fgColor rgb="FF6941A5"/>
      </patternFill>
    </fill>
    <fill>
      <patternFill patternType="solid">
        <fgColor rgb="FF147D6F"/>
      </patternFill>
    </fill>
    <fill>
      <patternFill patternType="solid">
        <fgColor rgb="FFB76A00"/>
      </patternFill>
    </fill>
    <fill>
      <patternFill patternType="solid">
        <fgColor rgb="FFEAF0F7"/>
      </patternFill>
    </fill>
    <fill>
      <patternFill patternType="solid">
        <fgColor rgb="FF0F2747"/>
      </patternFill>
    </fill>
    <fill>
      <patternFill patternType="solid">
        <fgColor rgb="FFDCEAF5"/>
      </patternFill>
    </fill>
    <fill>
      <patternFill patternType="solid">
        <fgColor rgb="FFFFF4CC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B7C4D6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AEBFD0"/>
      </left>
      <right style="thin">
        <color rgb="FFAEBFD0"/>
      </right>
      <top style="thin">
        <color rgb="FFAEBFD0"/>
      </top>
      <bottom style="thin">
        <color rgb="FFAEBFD0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medium">
        <color rgb="FF0F2747"/>
      </left>
      <right style="medium">
        <color rgb="FF0F2747"/>
      </right>
      <top style="medium">
        <color rgb="FF0F2747"/>
      </top>
      <bottom style="medium">
        <color rgb="FF0F2747"/>
      </bottom>
      <diagonal/>
    </border>
    <border>
      <left/>
      <right/>
      <top style="medium">
        <color rgb="FF94A3B8"/>
      </top>
      <bottom/>
      <diagonal/>
    </border>
    <border>
      <left style="thin">
        <color rgb="FFCBD5E1"/>
      </left>
      <right style="thin">
        <color rgb="FFCBD5E1"/>
      </right>
      <top style="medium">
        <color rgb="FF94A3B8"/>
      </top>
      <bottom/>
      <diagonal/>
    </border>
    <border>
      <left style="thin">
        <color rgb="FFCBD5E1"/>
      </left>
      <right/>
      <top style="medium">
        <color rgb="FF94A3B8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94A3B8"/>
      </top>
      <bottom/>
      <diagonal/>
    </border>
    <border>
      <left/>
      <right/>
      <top/>
      <bottom style="thin">
        <color rgb="FFD7E0EA"/>
      </bottom>
      <diagonal/>
    </border>
    <border>
      <left/>
      <right/>
      <top style="thin">
        <color rgb="FFD7E0EA"/>
      </top>
      <bottom style="thin">
        <color rgb="FFD7E0EA"/>
      </bottom>
      <diagonal/>
    </border>
    <border>
      <left/>
      <right/>
      <top style="thin">
        <color rgb="FFD7E0EA"/>
      </top>
      <bottom/>
      <diagonal/>
    </border>
    <border>
      <left style="medium">
        <color rgb="FFD6A700"/>
      </left>
      <right/>
      <top style="medium">
        <color rgb="FFD6A700"/>
      </top>
      <bottom/>
      <diagonal/>
    </border>
    <border>
      <left/>
      <right style="medium">
        <color rgb="FFD6A700"/>
      </right>
      <top style="medium">
        <color rgb="FFD6A700"/>
      </top>
      <bottom/>
      <diagonal/>
    </border>
    <border>
      <left style="medium">
        <color rgb="FFD6A700"/>
      </left>
      <right/>
      <top/>
      <bottom style="medium">
        <color rgb="FFD6A700"/>
      </bottom>
      <diagonal/>
    </border>
    <border>
      <left/>
      <right style="medium">
        <color rgb="FFD6A700"/>
      </right>
      <top/>
      <bottom style="medium">
        <color rgb="FFD6A70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0" fontId="5" fillId="6" borderId="5" xfId="0" applyNumberFormat="1" applyFont="1" applyFill="1" applyBorder="1" applyAlignment="1">
      <alignment horizontal="center" vertical="center" wrapText="1"/>
    </xf>
    <xf numFmtId="0" fontId="6" fillId="7" borderId="6" xfId="0" applyNumberFormat="1" applyFont="1" applyFill="1" applyBorder="1" applyAlignment="1">
      <alignment horizontal="center" vertical="center" wrapText="1"/>
    </xf>
    <xf numFmtId="0" fontId="5" fillId="8" borderId="5" xfId="0" applyNumberFormat="1" applyFont="1" applyFill="1" applyBorder="1" applyAlignment="1">
      <alignment horizontal="center" vertical="center" wrapText="1"/>
    </xf>
    <xf numFmtId="0" fontId="6" fillId="9" borderId="6" xfId="0" applyNumberFormat="1" applyFont="1" applyFill="1" applyBorder="1" applyAlignment="1">
      <alignment horizontal="center" vertical="center" wrapText="1"/>
    </xf>
    <xf numFmtId="49" fontId="6" fillId="9" borderId="6" xfId="0" applyNumberFormat="1" applyFont="1" applyFill="1" applyBorder="1" applyAlignment="1">
      <alignment horizontal="center" vertical="center" wrapText="1"/>
    </xf>
    <xf numFmtId="49" fontId="5" fillId="10" borderId="5" xfId="0" applyNumberFormat="1" applyFont="1" applyFill="1" applyBorder="1" applyAlignment="1">
      <alignment horizontal="center" vertical="center" wrapText="1"/>
    </xf>
    <xf numFmtId="49" fontId="6" fillId="11" borderId="6" xfId="0" applyNumberFormat="1" applyFont="1" applyFill="1" applyBorder="1" applyAlignment="1">
      <alignment horizontal="center" vertical="center" wrapText="1"/>
    </xf>
    <xf numFmtId="49" fontId="5" fillId="12" borderId="5" xfId="0" applyNumberFormat="1" applyFont="1" applyFill="1" applyBorder="1" applyAlignment="1">
      <alignment horizontal="center" vertical="center" wrapText="1"/>
    </xf>
    <xf numFmtId="49" fontId="6" fillId="13" borderId="6" xfId="0" applyNumberFormat="1" applyFont="1" applyFill="1" applyBorder="1" applyAlignment="1">
      <alignment horizontal="center" vertical="center" wrapText="1"/>
    </xf>
    <xf numFmtId="0" fontId="9" fillId="15" borderId="7" xfId="0" applyNumberFormat="1" applyFont="1" applyFill="1" applyBorder="1" applyAlignment="1">
      <alignment horizontal="center" vertical="center"/>
    </xf>
    <xf numFmtId="49" fontId="9" fillId="15" borderId="7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left" vertical="center" wrapText="1"/>
    </xf>
    <xf numFmtId="49" fontId="8" fillId="2" borderId="7" xfId="0" applyNumberFormat="1" applyFont="1" applyFill="1" applyBorder="1" applyAlignment="1">
      <alignment horizontal="left" vertical="center" wrapText="1"/>
    </xf>
    <xf numFmtId="49" fontId="8" fillId="3" borderId="7" xfId="0" applyNumberFormat="1" applyFont="1" applyFill="1" applyBorder="1" applyAlignment="1">
      <alignment horizontal="left" vertical="center" wrapText="1"/>
    </xf>
    <xf numFmtId="0" fontId="8" fillId="2" borderId="7" xfId="0" applyNumberFormat="1" applyFont="1" applyFill="1" applyBorder="1" applyAlignment="1">
      <alignment horizontal="left" vertical="center" wrapText="1"/>
    </xf>
    <xf numFmtId="0" fontId="8" fillId="0" borderId="7" xfId="0" applyNumberFormat="1" applyFont="1" applyFill="1" applyBorder="1" applyAlignment="1">
      <alignment horizontal="left" vertical="center" wrapText="1"/>
    </xf>
    <xf numFmtId="49" fontId="8" fillId="16" borderId="7" xfId="0" applyNumberFormat="1" applyFont="1" applyFill="1" applyBorder="1" applyAlignment="1">
      <alignment horizontal="left" vertical="center" wrapText="1"/>
    </xf>
    <xf numFmtId="0" fontId="8" fillId="16" borderId="7" xfId="0" applyNumberFormat="1" applyFont="1" applyFill="1" applyBorder="1" applyAlignment="1">
      <alignment horizontal="left" vertical="center" wrapText="1"/>
    </xf>
    <xf numFmtId="0" fontId="10" fillId="17" borderId="7" xfId="0" applyNumberFormat="1" applyFont="1" applyFill="1" applyBorder="1" applyAlignment="1">
      <alignment horizontal="center" vertical="center"/>
    </xf>
    <xf numFmtId="0" fontId="11" fillId="5" borderId="9" xfId="0" applyNumberFormat="1" applyFont="1" applyFill="1" applyBorder="1"/>
    <xf numFmtId="49" fontId="12" fillId="5" borderId="10" xfId="0" applyNumberFormat="1" applyFont="1" applyFill="1" applyBorder="1" applyAlignment="1">
      <alignment horizontal="center" vertical="center"/>
    </xf>
    <xf numFmtId="49" fontId="11" fillId="5" borderId="10" xfId="0" applyNumberFormat="1" applyFont="1" applyFill="1" applyBorder="1" applyAlignment="1">
      <alignment horizontal="left" vertical="center" wrapText="1"/>
    </xf>
    <xf numFmtId="49" fontId="11" fillId="5" borderId="11" xfId="0" applyNumberFormat="1" applyFont="1" applyFill="1" applyBorder="1" applyAlignment="1">
      <alignment horizontal="left" vertical="center" wrapText="1"/>
    </xf>
    <xf numFmtId="0" fontId="15" fillId="0" borderId="20" xfId="0" applyNumberFormat="1" applyFont="1" applyFill="1" applyBorder="1" applyAlignment="1">
      <alignment vertical="center"/>
    </xf>
    <xf numFmtId="0" fontId="15" fillId="0" borderId="21" xfId="0" applyNumberFormat="1" applyFont="1" applyFill="1" applyBorder="1" applyAlignment="1">
      <alignment vertical="center"/>
    </xf>
    <xf numFmtId="0" fontId="5" fillId="19" borderId="19" xfId="0" applyNumberFormat="1" applyFont="1" applyFill="1" applyBorder="1" applyAlignment="1">
      <alignment horizontal="center" vertical="center" wrapText="1"/>
    </xf>
    <xf numFmtId="0" fontId="15" fillId="0" borderId="20" xfId="0" applyNumberFormat="1" applyFont="1" applyFill="1" applyBorder="1" applyAlignment="1">
      <alignment horizontal="center" vertical="center"/>
    </xf>
    <xf numFmtId="0" fontId="15" fillId="0" borderId="21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/>
    <xf numFmtId="0" fontId="7" fillId="24" borderId="0" xfId="0" applyNumberFormat="1" applyFont="1" applyFill="1" applyBorder="1" applyAlignment="1">
      <alignment horizontal="center" vertical="center"/>
    </xf>
    <xf numFmtId="0" fontId="17" fillId="25" borderId="0" xfId="0" applyNumberFormat="1" applyFont="1" applyFill="1" applyBorder="1" applyAlignment="1">
      <alignment horizontal="center" vertical="center"/>
    </xf>
    <xf numFmtId="0" fontId="18" fillId="0" borderId="19" xfId="0" applyNumberFormat="1" applyFont="1" applyFill="1" applyBorder="1"/>
    <xf numFmtId="0" fontId="18" fillId="0" borderId="20" xfId="0" applyNumberFormat="1" applyFont="1" applyFill="1" applyBorder="1"/>
    <xf numFmtId="0" fontId="18" fillId="0" borderId="21" xfId="0" applyNumberFormat="1" applyFont="1" applyFill="1" applyBorder="1"/>
    <xf numFmtId="165" fontId="18" fillId="0" borderId="19" xfId="0" applyNumberFormat="1" applyFont="1" applyFill="1" applyBorder="1"/>
    <xf numFmtId="165" fontId="18" fillId="0" borderId="20" xfId="0" applyNumberFormat="1" applyFont="1" applyFill="1" applyBorder="1"/>
    <xf numFmtId="165" fontId="18" fillId="0" borderId="21" xfId="0" applyNumberFormat="1" applyFont="1" applyFill="1" applyBorder="1"/>
    <xf numFmtId="49" fontId="18" fillId="0" borderId="19" xfId="0" applyNumberFormat="1" applyFont="1" applyFill="1" applyBorder="1"/>
    <xf numFmtId="49" fontId="18" fillId="0" borderId="20" xfId="0" applyNumberFormat="1" applyFont="1" applyFill="1" applyBorder="1"/>
    <xf numFmtId="49" fontId="18" fillId="0" borderId="21" xfId="0" applyNumberFormat="1" applyFont="1" applyFill="1" applyBorder="1"/>
    <xf numFmtId="0" fontId="18" fillId="0" borderId="0" xfId="0" applyNumberFormat="1" applyFont="1" applyFill="1"/>
    <xf numFmtId="165" fontId="18" fillId="0" borderId="0" xfId="0" applyNumberFormat="1" applyFont="1" applyFill="1"/>
    <xf numFmtId="49" fontId="18" fillId="0" borderId="0" xfId="0" applyNumberFormat="1" applyFont="1" applyFill="1"/>
    <xf numFmtId="0" fontId="5" fillId="18" borderId="0" xfId="0" applyNumberFormat="1" applyFont="1" applyFill="1" applyBorder="1" applyAlignment="1">
      <alignment horizontal="center" vertical="center"/>
    </xf>
    <xf numFmtId="0" fontId="5" fillId="21" borderId="0" xfId="0" applyNumberFormat="1" applyFont="1" applyFill="1" applyBorder="1" applyAlignment="1">
      <alignment horizontal="center"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NumberFormat="1" applyFont="1" applyFill="1" applyBorder="1" applyAlignment="1">
      <alignment vertical="center" wrapText="1"/>
    </xf>
    <xf numFmtId="0" fontId="15" fillId="0" borderId="21" xfId="0" applyNumberFormat="1" applyFont="1" applyFill="1" applyBorder="1" applyAlignment="1">
      <alignment vertical="center" wrapText="1"/>
    </xf>
    <xf numFmtId="0" fontId="20" fillId="18" borderId="0" xfId="0" applyNumberFormat="1" applyFont="1" applyFill="1" applyBorder="1" applyAlignment="1">
      <alignment horizontal="center"/>
    </xf>
    <xf numFmtId="0" fontId="5" fillId="19" borderId="0" xfId="0" applyNumberFormat="1" applyFont="1" applyFill="1" applyBorder="1" applyAlignment="1">
      <alignment horizontal="center" vertical="center" wrapText="1"/>
    </xf>
    <xf numFmtId="165" fontId="15" fillId="0" borderId="20" xfId="0" applyNumberFormat="1" applyFont="1" applyFill="1" applyBorder="1" applyAlignment="1">
      <alignment horizontal="center" vertical="center"/>
    </xf>
    <xf numFmtId="165" fontId="15" fillId="0" borderId="21" xfId="0" applyNumberFormat="1" applyFont="1" applyFill="1" applyBorder="1" applyAlignment="1">
      <alignment horizontal="center" vertical="center"/>
    </xf>
    <xf numFmtId="49" fontId="15" fillId="0" borderId="20" xfId="0" applyNumberFormat="1" applyFont="1" applyFill="1" applyBorder="1" applyAlignment="1">
      <alignment horizontal="center" vertical="center"/>
    </xf>
    <xf numFmtId="49" fontId="15" fillId="0" borderId="21" xfId="0" applyNumberFormat="1" applyFont="1" applyFill="1" applyBorder="1" applyAlignment="1">
      <alignment horizontal="center" vertical="center"/>
    </xf>
    <xf numFmtId="165" fontId="15" fillId="0" borderId="19" xfId="0" applyNumberFormat="1" applyFont="1" applyFill="1" applyBorder="1" applyAlignment="1">
      <alignment vertical="center" wrapText="1"/>
    </xf>
    <xf numFmtId="165" fontId="15" fillId="0" borderId="20" xfId="0" applyNumberFormat="1" applyFont="1" applyFill="1" applyBorder="1" applyAlignment="1">
      <alignment vertical="center" wrapText="1"/>
    </xf>
    <xf numFmtId="165" fontId="15" fillId="0" borderId="21" xfId="0" applyNumberFormat="1" applyFont="1" applyFill="1" applyBorder="1" applyAlignment="1">
      <alignment vertical="center" wrapText="1"/>
    </xf>
    <xf numFmtId="49" fontId="15" fillId="0" borderId="19" xfId="0" applyNumberFormat="1" applyFont="1" applyFill="1" applyBorder="1" applyAlignment="1">
      <alignment vertical="center" wrapText="1"/>
    </xf>
    <xf numFmtId="49" fontId="15" fillId="0" borderId="20" xfId="0" applyNumberFormat="1" applyFont="1" applyFill="1" applyBorder="1" applyAlignment="1">
      <alignment vertical="center" wrapText="1"/>
    </xf>
    <xf numFmtId="49" fontId="15" fillId="0" borderId="21" xfId="0" applyNumberFormat="1" applyFont="1" applyFill="1" applyBorder="1" applyAlignment="1">
      <alignment vertical="center" wrapText="1"/>
    </xf>
    <xf numFmtId="0" fontId="5" fillId="4" borderId="8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/>
    <xf numFmtId="0" fontId="8" fillId="0" borderId="1" xfId="0" applyNumberFormat="1" applyFont="1" applyFill="1" applyBorder="1"/>
    <xf numFmtId="0" fontId="8" fillId="0" borderId="3" xfId="0" applyNumberFormat="1" applyFont="1" applyFill="1" applyBorder="1"/>
    <xf numFmtId="0" fontId="10" fillId="17" borderId="2" xfId="0" applyNumberFormat="1" applyFont="1" applyFill="1" applyBorder="1"/>
    <xf numFmtId="0" fontId="3" fillId="4" borderId="0" xfId="0" applyNumberFormat="1" applyFont="1" applyFill="1" applyBorder="1" applyAlignment="1">
      <alignment horizontal="center" vertical="center"/>
    </xf>
    <xf numFmtId="49" fontId="3" fillId="4" borderId="0" xfId="0" applyNumberFormat="1" applyFont="1" applyFill="1" applyBorder="1" applyAlignment="1">
      <alignment horizontal="center" vertical="center"/>
    </xf>
    <xf numFmtId="0" fontId="7" fillId="14" borderId="5" xfId="0" applyNumberFormat="1" applyFont="1" applyFill="1" applyBorder="1" applyAlignment="1">
      <alignment horizontal="center" vertical="center"/>
    </xf>
    <xf numFmtId="49" fontId="10" fillId="17" borderId="7" xfId="0" applyNumberFormat="1" applyFont="1" applyFill="1" applyBorder="1" applyAlignment="1">
      <alignment horizontal="left" vertical="center" wrapText="1"/>
    </xf>
    <xf numFmtId="0" fontId="10" fillId="17" borderId="7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49" fontId="4" fillId="5" borderId="4" xfId="0" applyNumberFormat="1" applyFont="1" applyFill="1" applyBorder="1" applyAlignment="1">
      <alignment horizontal="center" vertical="center"/>
    </xf>
    <xf numFmtId="0" fontId="5" fillId="18" borderId="12" xfId="0" applyNumberFormat="1" applyFont="1" applyFill="1" applyBorder="1" applyAlignment="1">
      <alignment horizontal="center" vertical="center"/>
    </xf>
    <xf numFmtId="0" fontId="5" fillId="18" borderId="13" xfId="0" applyNumberFormat="1" applyFont="1" applyFill="1" applyBorder="1" applyAlignment="1">
      <alignment horizontal="center" vertical="center"/>
    </xf>
    <xf numFmtId="0" fontId="5" fillId="18" borderId="14" xfId="0" applyNumberFormat="1" applyFont="1" applyFill="1" applyBorder="1" applyAlignment="1">
      <alignment horizontal="center" vertical="center"/>
    </xf>
    <xf numFmtId="0" fontId="5" fillId="18" borderId="15" xfId="0" applyNumberFormat="1" applyFont="1" applyFill="1" applyBorder="1" applyAlignment="1">
      <alignment horizontal="center" vertical="center"/>
    </xf>
    <xf numFmtId="49" fontId="5" fillId="19" borderId="12" xfId="0" applyNumberFormat="1" applyFont="1" applyFill="1" applyBorder="1" applyAlignment="1">
      <alignment horizontal="center" vertical="center"/>
    </xf>
    <xf numFmtId="49" fontId="5" fillId="19" borderId="16" xfId="0" applyNumberFormat="1" applyFont="1" applyFill="1" applyBorder="1" applyAlignment="1">
      <alignment horizontal="center" vertical="center"/>
    </xf>
    <xf numFmtId="49" fontId="5" fillId="19" borderId="13" xfId="0" applyNumberFormat="1" applyFont="1" applyFill="1" applyBorder="1" applyAlignment="1">
      <alignment horizontal="center" vertical="center"/>
    </xf>
    <xf numFmtId="49" fontId="5" fillId="19" borderId="14" xfId="0" applyNumberFormat="1" applyFont="1" applyFill="1" applyBorder="1" applyAlignment="1">
      <alignment horizontal="center" vertical="center"/>
    </xf>
    <xf numFmtId="49" fontId="5" fillId="19" borderId="17" xfId="0" applyNumberFormat="1" applyFont="1" applyFill="1" applyBorder="1" applyAlignment="1">
      <alignment horizontal="center" vertical="center"/>
    </xf>
    <xf numFmtId="49" fontId="5" fillId="19" borderId="15" xfId="0" applyNumberFormat="1" applyFont="1" applyFill="1" applyBorder="1" applyAlignment="1">
      <alignment horizontal="center" vertical="center"/>
    </xf>
    <xf numFmtId="49" fontId="5" fillId="20" borderId="12" xfId="0" applyNumberFormat="1" applyFont="1" applyFill="1" applyBorder="1" applyAlignment="1">
      <alignment horizontal="center" vertical="center"/>
    </xf>
    <xf numFmtId="49" fontId="5" fillId="20" borderId="16" xfId="0" applyNumberFormat="1" applyFont="1" applyFill="1" applyBorder="1" applyAlignment="1">
      <alignment horizontal="center" vertical="center"/>
    </xf>
    <xf numFmtId="49" fontId="5" fillId="20" borderId="13" xfId="0" applyNumberFormat="1" applyFont="1" applyFill="1" applyBorder="1" applyAlignment="1">
      <alignment horizontal="center" vertical="center"/>
    </xf>
    <xf numFmtId="49" fontId="5" fillId="20" borderId="14" xfId="0" applyNumberFormat="1" applyFont="1" applyFill="1" applyBorder="1" applyAlignment="1">
      <alignment horizontal="center" vertical="center"/>
    </xf>
    <xf numFmtId="49" fontId="5" fillId="20" borderId="17" xfId="0" applyNumberFormat="1" applyFont="1" applyFill="1" applyBorder="1" applyAlignment="1">
      <alignment horizontal="center" vertical="center"/>
    </xf>
    <xf numFmtId="49" fontId="5" fillId="20" borderId="15" xfId="0" applyNumberFormat="1" applyFont="1" applyFill="1" applyBorder="1" applyAlignment="1">
      <alignment horizontal="center" vertical="center"/>
    </xf>
    <xf numFmtId="0" fontId="5" fillId="21" borderId="12" xfId="0" applyNumberFormat="1" applyFont="1" applyFill="1" applyBorder="1" applyAlignment="1">
      <alignment horizontal="center" vertical="center"/>
    </xf>
    <xf numFmtId="0" fontId="5" fillId="21" borderId="16" xfId="0" applyNumberFormat="1" applyFont="1" applyFill="1" applyBorder="1" applyAlignment="1">
      <alignment horizontal="center" vertical="center"/>
    </xf>
    <xf numFmtId="0" fontId="5" fillId="21" borderId="13" xfId="0" applyNumberFormat="1" applyFont="1" applyFill="1" applyBorder="1" applyAlignment="1">
      <alignment horizontal="center" vertical="center"/>
    </xf>
    <xf numFmtId="0" fontId="5" fillId="21" borderId="14" xfId="0" applyNumberFormat="1" applyFont="1" applyFill="1" applyBorder="1" applyAlignment="1">
      <alignment horizontal="center" vertical="center"/>
    </xf>
    <xf numFmtId="0" fontId="5" fillId="21" borderId="17" xfId="0" applyNumberFormat="1" applyFont="1" applyFill="1" applyBorder="1" applyAlignment="1">
      <alignment horizontal="center" vertical="center"/>
    </xf>
    <xf numFmtId="0" fontId="5" fillId="21" borderId="15" xfId="0" applyNumberFormat="1" applyFont="1" applyFill="1" applyBorder="1" applyAlignment="1">
      <alignment horizontal="center" vertical="center"/>
    </xf>
    <xf numFmtId="0" fontId="5" fillId="22" borderId="12" xfId="0" applyNumberFormat="1" applyFont="1" applyFill="1" applyBorder="1" applyAlignment="1">
      <alignment horizontal="center" vertical="center"/>
    </xf>
    <xf numFmtId="0" fontId="5" fillId="22" borderId="16" xfId="0" applyNumberFormat="1" applyFont="1" applyFill="1" applyBorder="1" applyAlignment="1">
      <alignment horizontal="center" vertical="center"/>
    </xf>
    <xf numFmtId="0" fontId="5" fillId="22" borderId="13" xfId="0" applyNumberFormat="1" applyFont="1" applyFill="1" applyBorder="1" applyAlignment="1">
      <alignment horizontal="center" vertical="center"/>
    </xf>
    <xf numFmtId="0" fontId="5" fillId="22" borderId="14" xfId="0" applyNumberFormat="1" applyFont="1" applyFill="1" applyBorder="1" applyAlignment="1">
      <alignment horizontal="center" vertical="center"/>
    </xf>
    <xf numFmtId="0" fontId="5" fillId="22" borderId="17" xfId="0" applyNumberFormat="1" applyFont="1" applyFill="1" applyBorder="1" applyAlignment="1">
      <alignment horizontal="center" vertical="center"/>
    </xf>
    <xf numFmtId="0" fontId="5" fillId="22" borderId="15" xfId="0" applyNumberFormat="1" applyFont="1" applyFill="1" applyBorder="1" applyAlignment="1">
      <alignment horizontal="center" vertical="center"/>
    </xf>
    <xf numFmtId="0" fontId="11" fillId="23" borderId="18" xfId="0" applyNumberFormat="1" applyFont="1" applyFill="1" applyBorder="1" applyAlignment="1">
      <alignment horizontal="left" vertical="center" wrapText="1"/>
    </xf>
    <xf numFmtId="49" fontId="11" fillId="23" borderId="18" xfId="0" applyNumberFormat="1" applyFont="1" applyFill="1" applyBorder="1" applyAlignment="1">
      <alignment horizontal="left" vertical="center" wrapText="1"/>
    </xf>
    <xf numFmtId="0" fontId="13" fillId="24" borderId="0" xfId="0" applyNumberFormat="1" applyFont="1" applyFill="1" applyBorder="1" applyAlignment="1">
      <alignment horizontal="center" vertical="center"/>
    </xf>
    <xf numFmtId="0" fontId="14" fillId="23" borderId="0" xfId="0" applyNumberFormat="1" applyFont="1" applyFill="1" applyBorder="1" applyAlignment="1">
      <alignment horizontal="center" vertical="center"/>
    </xf>
    <xf numFmtId="0" fontId="19" fillId="26" borderId="22" xfId="0" applyNumberFormat="1" applyFont="1" applyFill="1" applyBorder="1" applyAlignment="1">
      <alignment horizontal="left" vertical="center"/>
    </xf>
    <xf numFmtId="0" fontId="19" fillId="26" borderId="23" xfId="0" applyNumberFormat="1" applyFont="1" applyFill="1" applyBorder="1" applyAlignment="1">
      <alignment horizontal="left" vertical="center"/>
    </xf>
    <xf numFmtId="0" fontId="19" fillId="26" borderId="24" xfId="0" applyNumberFormat="1" applyFont="1" applyFill="1" applyBorder="1" applyAlignment="1">
      <alignment horizontal="left" vertical="center"/>
    </xf>
    <xf numFmtId="0" fontId="19" fillId="26" borderId="25" xfId="0" applyNumberFormat="1" applyFont="1" applyFill="1" applyBorder="1" applyAlignment="1">
      <alignment horizontal="left" vertical="center"/>
    </xf>
    <xf numFmtId="0" fontId="14" fillId="23" borderId="0" xfId="0" applyNumberFormat="1" applyFont="1" applyFill="1" applyBorder="1" applyAlignment="1">
      <alignment vertical="center" wrapText="1"/>
    </xf>
    <xf numFmtId="0" fontId="21" fillId="23" borderId="0" xfId="0" applyNumberFormat="1" applyFont="1" applyFill="1" applyBorder="1" applyAlignment="1">
      <alignment horizontal="center"/>
    </xf>
  </cellXfs>
  <cellStyles count="1">
    <cellStyle name="Normální" xfId="0" builtinId="0"/>
  </cellStyles>
  <dxfs count="11">
    <dxf>
      <font>
        <b/>
        <color rgb="FF166534"/>
      </font>
      <fill>
        <patternFill patternType="solid">
          <bgColor rgb="FFDCFCE7"/>
        </patternFill>
      </fill>
    </dxf>
    <dxf>
      <font>
        <b/>
        <color rgb="FF1D4ED8"/>
      </font>
      <fill>
        <patternFill patternType="solid">
          <bgColor rgb="FFDBEAFE"/>
        </patternFill>
      </fill>
    </dxf>
    <dxf>
      <font>
        <color rgb="FF6B7280"/>
      </font>
      <fill>
        <patternFill patternType="solid">
          <bgColor rgb="FFE5E7EB"/>
        </patternFill>
      </fill>
    </dxf>
    <dxf>
      <font>
        <b/>
        <color rgb="FF166534"/>
      </font>
      <fill>
        <patternFill patternType="solid">
          <bgColor rgb="FFDCFCE7"/>
        </patternFill>
      </fill>
    </dxf>
    <dxf>
      <font>
        <b/>
        <color rgb="FF1D4ED8"/>
      </font>
      <fill>
        <patternFill patternType="solid">
          <bgColor rgb="FFDBEAFE"/>
        </patternFill>
      </fill>
    </dxf>
    <dxf>
      <font>
        <color rgb="FF6B7280"/>
      </font>
      <fill>
        <patternFill patternType="solid">
          <bgColor rgb="FFE5E7EB"/>
        </patternFill>
      </fill>
    </dxf>
    <dxf>
      <font>
        <b/>
        <color rgb="FF5B4600"/>
      </font>
      <fill>
        <patternFill patternType="solid">
          <bgColor rgb="FFFFF4CC"/>
        </patternFill>
      </fill>
    </dxf>
    <dxf>
      <font>
        <b/>
        <color rgb="FF166534"/>
      </font>
      <fill>
        <patternFill patternType="solid">
          <bgColor rgb="FFDCFCE7"/>
        </patternFill>
      </fill>
    </dxf>
    <dxf>
      <font>
        <b/>
        <color rgb="FF1D4ED8"/>
      </font>
      <fill>
        <patternFill patternType="solid">
          <bgColor rgb="FFDBEAFE"/>
        </patternFill>
      </fill>
    </dxf>
    <dxf>
      <font>
        <color rgb="FF6B7280"/>
      </font>
      <fill>
        <patternFill patternType="solid">
          <bgColor rgb="FFE5E7EB"/>
        </patternFill>
      </fill>
    </dxf>
    <dxf>
      <font>
        <b/>
        <color rgb="FF5B4600"/>
      </font>
      <fill>
        <patternFill patternType="solid">
          <bgColor rgb="FFFFF4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eznamZapasuTable" displayName="SeznamZapasuTable" ref="A4:J430" totalsRowShown="0">
  <autoFilter ref="A4:J430" xr:uid="{00000000-0009-0000-0100-000001000000}"/>
  <tableColumns count="10">
    <tableColumn id="1" xr3:uid="{00000000-0010-0000-0000-000001000000}" name="Datum"/>
    <tableColumn id="2" xr3:uid="{00000000-0010-0000-0000-000002000000}" name="Den"/>
    <tableColumn id="3" xr3:uid="{00000000-0010-0000-0000-000003000000}" name="Družstvo"/>
    <tableColumn id="4" xr3:uid="{00000000-0010-0000-0000-000004000000}" name="Soutěž"/>
    <tableColumn id="5" xr3:uid="{00000000-0010-0000-0000-000005000000}" name="Soupeř / fáze"/>
    <tableColumn id="6" xr3:uid="{00000000-0010-0000-0000-000006000000}" name="Číslo utkání"/>
    <tableColumn id="7" xr3:uid="{00000000-0010-0000-0000-000007000000}" name="Čas"/>
    <tableColumn id="8" xr3:uid="{00000000-0010-0000-0000-000008000000}" name="Místo"/>
    <tableColumn id="9" xr3:uid="{00000000-0010-0000-0000-000009000000}" name="Poznámka"/>
    <tableColumn id="10" xr3:uid="{00000000-0010-0000-0000-00000A000000}" name="Sta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6"/>
  <sheetViews>
    <sheetView showGridLines="0" tabSelected="1" workbookViewId="0">
      <selection sqref="A1:Z1"/>
    </sheetView>
  </sheetViews>
  <sheetFormatPr defaultColWidth="9.140625" defaultRowHeight="12.75" x14ac:dyDescent="0.2"/>
  <cols>
    <col min="1" max="1" width="9.7109375" style="3" customWidth="1"/>
    <col min="2" max="2" width="10.7109375" style="3" customWidth="1"/>
    <col min="3" max="3" width="17" style="1" customWidth="1"/>
    <col min="4" max="4" width="17" style="3" customWidth="1"/>
    <col min="5" max="5" width="17" style="1" customWidth="1"/>
    <col min="6" max="26" width="17" customWidth="1"/>
    <col min="27" max="27" width="9.140625" style="3" customWidth="1"/>
    <col min="28" max="16384" width="9.140625" style="3"/>
  </cols>
  <sheetData>
    <row r="1" spans="1:26" ht="33.950000000000003" customHeight="1" x14ac:dyDescent="0.2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</row>
    <row r="2" spans="1:26" ht="23.1" customHeight="1" x14ac:dyDescent="0.2">
      <c r="A2" s="78" t="s">
        <v>498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spans="1:26" ht="36" customHeight="1" x14ac:dyDescent="0.2">
      <c r="A3" s="74" t="s">
        <v>499</v>
      </c>
      <c r="B3" s="74" t="s">
        <v>500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9" t="s">
        <v>6</v>
      </c>
      <c r="I3" s="9" t="s">
        <v>7</v>
      </c>
      <c r="J3" s="9" t="s">
        <v>8</v>
      </c>
      <c r="K3" s="9" t="s">
        <v>9</v>
      </c>
      <c r="L3" s="12" t="s">
        <v>10</v>
      </c>
      <c r="M3" s="12" t="s">
        <v>11</v>
      </c>
      <c r="N3" s="12" t="s">
        <v>12</v>
      </c>
      <c r="O3" s="12" t="s">
        <v>13</v>
      </c>
      <c r="P3" s="12" t="s">
        <v>14</v>
      </c>
      <c r="Q3" s="12" t="s">
        <v>15</v>
      </c>
      <c r="R3" s="12" t="s">
        <v>16</v>
      </c>
      <c r="S3" s="14" t="s">
        <v>17</v>
      </c>
      <c r="T3" s="14" t="s">
        <v>18</v>
      </c>
      <c r="U3" s="14" t="s">
        <v>19</v>
      </c>
      <c r="V3" s="14" t="s">
        <v>20</v>
      </c>
      <c r="W3" s="14" t="s">
        <v>21</v>
      </c>
      <c r="X3" s="14" t="s">
        <v>22</v>
      </c>
      <c r="Y3" s="14" t="s">
        <v>23</v>
      </c>
      <c r="Z3" s="14" t="s">
        <v>24</v>
      </c>
    </row>
    <row r="4" spans="1:26" ht="27.95" customHeight="1" x14ac:dyDescent="0.2">
      <c r="A4" s="74"/>
      <c r="B4" s="74"/>
      <c r="C4" s="8" t="s">
        <v>25</v>
      </c>
      <c r="D4" s="8" t="s">
        <v>26</v>
      </c>
      <c r="E4" s="8" t="s">
        <v>27</v>
      </c>
      <c r="F4" s="8" t="s">
        <v>28</v>
      </c>
      <c r="G4" s="8" t="s">
        <v>28</v>
      </c>
      <c r="H4" s="10" t="s">
        <v>29</v>
      </c>
      <c r="I4" s="10" t="s">
        <v>30</v>
      </c>
      <c r="J4" s="11" t="s">
        <v>31</v>
      </c>
      <c r="K4" s="10" t="s">
        <v>30</v>
      </c>
      <c r="L4" s="13" t="s">
        <v>32</v>
      </c>
      <c r="M4" s="13" t="s">
        <v>32</v>
      </c>
      <c r="N4" s="13" t="s">
        <v>33</v>
      </c>
      <c r="O4" s="13" t="s">
        <v>32</v>
      </c>
      <c r="P4" s="13" t="s">
        <v>32</v>
      </c>
      <c r="Q4" s="13" t="s">
        <v>30</v>
      </c>
      <c r="R4" s="13" t="s">
        <v>34</v>
      </c>
      <c r="S4" s="15" t="s">
        <v>34</v>
      </c>
      <c r="T4" s="15" t="s">
        <v>34</v>
      </c>
      <c r="U4" s="15" t="s">
        <v>26</v>
      </c>
      <c r="V4" s="15" t="s">
        <v>34</v>
      </c>
      <c r="W4" s="15" t="s">
        <v>34</v>
      </c>
      <c r="X4" s="15" t="s">
        <v>34</v>
      </c>
      <c r="Y4" s="15" t="s">
        <v>26</v>
      </c>
      <c r="Z4" s="15" t="s">
        <v>35</v>
      </c>
    </row>
    <row r="5" spans="1:26" ht="30.95" customHeight="1" x14ac:dyDescent="0.2">
      <c r="A5" s="77"/>
      <c r="B5" s="16" t="s">
        <v>36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30.95" customHeight="1" x14ac:dyDescent="0.2">
      <c r="A6" s="68"/>
      <c r="B6" s="16" t="s">
        <v>37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30.95" customHeight="1" x14ac:dyDescent="0.2">
      <c r="A7" s="68"/>
      <c r="B7" s="16" t="s">
        <v>38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 t="s">
        <v>39</v>
      </c>
      <c r="W7" s="23"/>
      <c r="X7" s="23"/>
      <c r="Y7" s="23"/>
      <c r="Z7" s="23"/>
    </row>
    <row r="8" spans="1:26" ht="30.95" customHeight="1" x14ac:dyDescent="0.2">
      <c r="A8" s="68"/>
      <c r="B8" s="16" t="s">
        <v>40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9" t="s">
        <v>41</v>
      </c>
      <c r="S8" s="18"/>
      <c r="T8" s="18" t="s">
        <v>42</v>
      </c>
      <c r="U8" s="18"/>
      <c r="V8" s="18"/>
      <c r="W8" s="18"/>
      <c r="X8" s="18"/>
      <c r="Y8" s="18"/>
      <c r="Z8" s="18"/>
    </row>
    <row r="9" spans="1:26" ht="30.95" customHeight="1" x14ac:dyDescent="0.2">
      <c r="A9" s="68"/>
      <c r="B9" s="16" t="s">
        <v>43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 t="s">
        <v>44</v>
      </c>
      <c r="P9" s="23"/>
      <c r="Q9" s="23"/>
      <c r="R9" s="23"/>
      <c r="S9" s="23"/>
      <c r="T9" s="23"/>
      <c r="U9" s="23"/>
      <c r="V9" s="23" t="s">
        <v>45</v>
      </c>
      <c r="W9" s="23"/>
      <c r="X9" s="23"/>
      <c r="Y9" s="23"/>
      <c r="Z9" s="23"/>
    </row>
    <row r="10" spans="1:26" ht="30.95" customHeight="1" x14ac:dyDescent="0.2">
      <c r="A10" s="68"/>
      <c r="B10" s="16" t="s">
        <v>46</v>
      </c>
      <c r="C10" s="18" t="s">
        <v>47</v>
      </c>
      <c r="D10" s="18"/>
      <c r="E10" s="18" t="s">
        <v>48</v>
      </c>
      <c r="F10" s="18"/>
      <c r="G10" s="20" t="s">
        <v>49</v>
      </c>
      <c r="H10" s="18"/>
      <c r="I10" s="18" t="s">
        <v>50</v>
      </c>
      <c r="J10" s="19" t="s">
        <v>51</v>
      </c>
      <c r="K10" s="19" t="s">
        <v>52</v>
      </c>
      <c r="L10" s="18"/>
      <c r="M10" s="18"/>
      <c r="N10" s="18"/>
      <c r="O10" s="19" t="s">
        <v>53</v>
      </c>
      <c r="P10" s="19" t="s">
        <v>54</v>
      </c>
      <c r="Q10" s="19" t="s">
        <v>55</v>
      </c>
      <c r="R10" s="18"/>
      <c r="S10" s="19" t="s">
        <v>56</v>
      </c>
      <c r="T10" s="18"/>
      <c r="U10" s="18"/>
      <c r="V10" s="18"/>
      <c r="W10" s="18"/>
      <c r="X10" s="18"/>
      <c r="Y10" s="18"/>
      <c r="Z10" s="18"/>
    </row>
    <row r="11" spans="1:26" ht="30.95" customHeight="1" x14ac:dyDescent="0.2">
      <c r="A11" s="68"/>
      <c r="B11" s="16" t="s">
        <v>57</v>
      </c>
      <c r="C11" s="23" t="s">
        <v>58</v>
      </c>
      <c r="D11" s="23"/>
      <c r="E11" s="23" t="s">
        <v>59</v>
      </c>
      <c r="F11" s="23" t="s">
        <v>60</v>
      </c>
      <c r="G11" s="23"/>
      <c r="H11" s="23"/>
      <c r="I11" s="23" t="s">
        <v>61</v>
      </c>
      <c r="J11" s="23" t="s">
        <v>62</v>
      </c>
      <c r="K11" s="23" t="s">
        <v>63</v>
      </c>
      <c r="L11" s="23"/>
      <c r="M11" s="23"/>
      <c r="N11" s="23"/>
      <c r="O11" s="23" t="s">
        <v>64</v>
      </c>
      <c r="P11" s="23" t="s">
        <v>65</v>
      </c>
      <c r="Q11" s="23"/>
      <c r="R11" s="23"/>
      <c r="S11" s="23"/>
      <c r="T11" s="23"/>
      <c r="U11" s="23"/>
      <c r="V11" s="23" t="s">
        <v>66</v>
      </c>
      <c r="W11" s="23" t="s">
        <v>67</v>
      </c>
      <c r="X11" s="23"/>
      <c r="Y11" s="23"/>
      <c r="Z11" s="23"/>
    </row>
    <row r="12" spans="1:26" ht="30.95" customHeight="1" x14ac:dyDescent="0.2">
      <c r="A12" s="68"/>
      <c r="B12" s="16" t="s">
        <v>68</v>
      </c>
      <c r="C12" s="18"/>
      <c r="D12" s="21" t="s">
        <v>69</v>
      </c>
      <c r="E12" s="18"/>
      <c r="F12" s="22"/>
      <c r="G12" s="22"/>
      <c r="H12" s="21" t="s">
        <v>70</v>
      </c>
      <c r="I12" s="18"/>
      <c r="J12" s="18"/>
      <c r="K12" s="18"/>
      <c r="L12" s="19" t="s">
        <v>71</v>
      </c>
      <c r="M12" s="19" t="s">
        <v>72</v>
      </c>
      <c r="N12" s="19" t="s">
        <v>73</v>
      </c>
      <c r="O12" s="18"/>
      <c r="P12" s="18"/>
      <c r="Q12" s="18"/>
      <c r="R12" s="18" t="s">
        <v>74</v>
      </c>
      <c r="S12" s="18"/>
      <c r="T12" s="19" t="s">
        <v>75</v>
      </c>
      <c r="U12" s="18"/>
      <c r="V12" s="18" t="s">
        <v>76</v>
      </c>
      <c r="W12" s="18"/>
      <c r="X12" s="19" t="s">
        <v>77</v>
      </c>
      <c r="Y12" s="18"/>
      <c r="Z12" s="18"/>
    </row>
    <row r="13" spans="1:26" ht="30.95" customHeight="1" x14ac:dyDescent="0.2">
      <c r="A13" s="69"/>
      <c r="B13" s="16" t="s">
        <v>78</v>
      </c>
      <c r="C13" s="23"/>
      <c r="D13" s="24"/>
      <c r="E13" s="23"/>
      <c r="F13" s="24"/>
      <c r="G13" s="24"/>
      <c r="H13" s="24" t="s">
        <v>79</v>
      </c>
      <c r="I13" s="23"/>
      <c r="J13" s="23"/>
      <c r="K13" s="23"/>
      <c r="L13" s="23" t="s">
        <v>80</v>
      </c>
      <c r="M13" s="23" t="s">
        <v>81</v>
      </c>
      <c r="N13" s="23" t="s">
        <v>82</v>
      </c>
      <c r="O13" s="23"/>
      <c r="P13" s="23"/>
      <c r="Q13" s="23"/>
      <c r="R13" s="23" t="s">
        <v>83</v>
      </c>
      <c r="S13" s="23"/>
      <c r="T13" s="23"/>
      <c r="U13" s="23"/>
      <c r="V13" s="23" t="s">
        <v>84</v>
      </c>
      <c r="W13" s="23"/>
      <c r="X13" s="23"/>
      <c r="Y13" s="23"/>
      <c r="Z13" s="23"/>
    </row>
    <row r="14" spans="1:26" ht="30.95" customHeight="1" x14ac:dyDescent="0.2">
      <c r="A14" s="67" t="s">
        <v>85</v>
      </c>
      <c r="B14" s="16" t="s">
        <v>86</v>
      </c>
      <c r="C14" s="19" t="s">
        <v>87</v>
      </c>
      <c r="D14" s="18"/>
      <c r="E14" s="20" t="s">
        <v>88</v>
      </c>
      <c r="F14" s="18" t="s">
        <v>89</v>
      </c>
      <c r="G14" s="18" t="s">
        <v>90</v>
      </c>
      <c r="H14" s="18"/>
      <c r="I14" s="18" t="s">
        <v>91</v>
      </c>
      <c r="J14" s="18" t="s">
        <v>92</v>
      </c>
      <c r="K14" s="18" t="s">
        <v>93</v>
      </c>
      <c r="L14" s="18"/>
      <c r="M14" s="18"/>
      <c r="N14" s="18"/>
      <c r="O14" s="18" t="s">
        <v>94</v>
      </c>
      <c r="P14" s="18" t="s">
        <v>95</v>
      </c>
      <c r="Q14" s="19" t="s">
        <v>96</v>
      </c>
      <c r="R14" s="18"/>
      <c r="S14" s="18" t="s">
        <v>97</v>
      </c>
      <c r="T14" s="18"/>
      <c r="U14" s="19" t="s">
        <v>98</v>
      </c>
      <c r="V14" s="18"/>
      <c r="W14" s="18" t="s">
        <v>99</v>
      </c>
      <c r="X14" s="18"/>
      <c r="Y14" s="18" t="s">
        <v>100</v>
      </c>
      <c r="Z14" s="18"/>
    </row>
    <row r="15" spans="1:26" ht="30.95" customHeight="1" x14ac:dyDescent="0.2">
      <c r="A15" s="68"/>
      <c r="B15" s="16" t="s">
        <v>101</v>
      </c>
      <c r="C15" s="23" t="s">
        <v>102</v>
      </c>
      <c r="D15" s="23"/>
      <c r="E15" s="23" t="s">
        <v>103</v>
      </c>
      <c r="F15" s="23" t="s">
        <v>104</v>
      </c>
      <c r="G15" s="23" t="s">
        <v>105</v>
      </c>
      <c r="H15" s="23"/>
      <c r="I15" s="23" t="s">
        <v>106</v>
      </c>
      <c r="J15" s="23" t="s">
        <v>107</v>
      </c>
      <c r="K15" s="23" t="s">
        <v>108</v>
      </c>
      <c r="L15" s="23"/>
      <c r="M15" s="23"/>
      <c r="N15" s="23"/>
      <c r="O15" s="23" t="s">
        <v>109</v>
      </c>
      <c r="P15" s="23" t="s">
        <v>110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30.95" customHeight="1" x14ac:dyDescent="0.2">
      <c r="A16" s="68"/>
      <c r="B16" s="16" t="s">
        <v>111</v>
      </c>
      <c r="C16" s="18"/>
      <c r="D16" s="19" t="s">
        <v>112</v>
      </c>
      <c r="E16" s="18"/>
      <c r="F16" s="22"/>
      <c r="G16" s="22"/>
      <c r="H16" s="21" t="s">
        <v>113</v>
      </c>
      <c r="I16" s="18"/>
      <c r="J16" s="18"/>
      <c r="K16" s="18"/>
      <c r="L16" s="18" t="s">
        <v>114</v>
      </c>
      <c r="M16" s="19" t="s">
        <v>115</v>
      </c>
      <c r="N16" s="18" t="s">
        <v>116</v>
      </c>
      <c r="O16" s="18"/>
      <c r="P16" s="18"/>
      <c r="Q16" s="18"/>
      <c r="R16" s="19" t="s">
        <v>117</v>
      </c>
      <c r="S16" s="18"/>
      <c r="T16" s="18" t="s">
        <v>118</v>
      </c>
      <c r="U16" s="18"/>
      <c r="V16" s="18"/>
      <c r="W16" s="18"/>
      <c r="X16" s="18" t="s">
        <v>119</v>
      </c>
      <c r="Y16" s="18"/>
      <c r="Z16" s="18"/>
    </row>
    <row r="17" spans="1:26" ht="30.95" customHeight="1" x14ac:dyDescent="0.2">
      <c r="A17" s="68"/>
      <c r="B17" s="16" t="s">
        <v>120</v>
      </c>
      <c r="C17" s="23"/>
      <c r="D17" s="23" t="s">
        <v>121</v>
      </c>
      <c r="E17" s="23"/>
      <c r="F17" s="24"/>
      <c r="G17" s="24"/>
      <c r="H17" s="24" t="s">
        <v>122</v>
      </c>
      <c r="I17" s="23"/>
      <c r="J17" s="23"/>
      <c r="K17" s="23"/>
      <c r="L17" s="23" t="s">
        <v>123</v>
      </c>
      <c r="M17" s="23" t="s">
        <v>124</v>
      </c>
      <c r="N17" s="23" t="s">
        <v>125</v>
      </c>
      <c r="O17" s="23"/>
      <c r="P17" s="23"/>
      <c r="Q17" s="23"/>
      <c r="R17" s="23" t="s">
        <v>126</v>
      </c>
      <c r="S17" s="23"/>
      <c r="T17" s="23"/>
      <c r="U17" s="23"/>
      <c r="V17" s="23"/>
      <c r="W17" s="23"/>
      <c r="X17" s="23"/>
      <c r="Y17" s="23"/>
      <c r="Z17" s="23"/>
    </row>
    <row r="18" spans="1:26" ht="30.95" customHeight="1" x14ac:dyDescent="0.2">
      <c r="A18" s="68"/>
      <c r="B18" s="16" t="s">
        <v>127</v>
      </c>
      <c r="C18" s="18" t="s">
        <v>128</v>
      </c>
      <c r="D18" s="18"/>
      <c r="E18" s="18" t="s">
        <v>129</v>
      </c>
      <c r="F18" s="21" t="s">
        <v>130</v>
      </c>
      <c r="G18" s="21" t="s">
        <v>131</v>
      </c>
      <c r="H18" s="22"/>
      <c r="I18" s="19" t="s">
        <v>132</v>
      </c>
      <c r="J18" s="19" t="s">
        <v>133</v>
      </c>
      <c r="K18" s="19" t="s">
        <v>134</v>
      </c>
      <c r="L18" s="18"/>
      <c r="M18" s="18"/>
      <c r="N18" s="18"/>
      <c r="O18" s="18" t="s">
        <v>135</v>
      </c>
      <c r="P18" s="19" t="s">
        <v>136</v>
      </c>
      <c r="Q18" s="18" t="s">
        <v>137</v>
      </c>
      <c r="R18" s="18"/>
      <c r="S18" s="19" t="s">
        <v>138</v>
      </c>
      <c r="T18" s="18"/>
      <c r="U18" s="19" t="s">
        <v>139</v>
      </c>
      <c r="V18" s="18"/>
      <c r="W18" s="20" t="s">
        <v>140</v>
      </c>
      <c r="X18" s="18"/>
      <c r="Y18" s="18" t="s">
        <v>141</v>
      </c>
      <c r="Z18" s="18"/>
    </row>
    <row r="19" spans="1:26" ht="30.95" customHeight="1" x14ac:dyDescent="0.2">
      <c r="A19" s="68"/>
      <c r="B19" s="16" t="s">
        <v>142</v>
      </c>
      <c r="C19" s="23" t="s">
        <v>143</v>
      </c>
      <c r="D19" s="23"/>
      <c r="E19" s="23" t="s">
        <v>144</v>
      </c>
      <c r="F19" s="23" t="s">
        <v>145</v>
      </c>
      <c r="G19" s="23" t="s">
        <v>146</v>
      </c>
      <c r="H19" s="23"/>
      <c r="I19" s="23" t="s">
        <v>147</v>
      </c>
      <c r="J19" s="23" t="s">
        <v>148</v>
      </c>
      <c r="K19" s="23" t="s">
        <v>149</v>
      </c>
      <c r="L19" s="23"/>
      <c r="M19" s="23"/>
      <c r="N19" s="23"/>
      <c r="O19" s="23" t="s">
        <v>150</v>
      </c>
      <c r="P19" s="23"/>
      <c r="Q19" s="23" t="s">
        <v>151</v>
      </c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30.95" customHeight="1" x14ac:dyDescent="0.2">
      <c r="A20" s="68"/>
      <c r="B20" s="16" t="s">
        <v>152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30.95" customHeight="1" x14ac:dyDescent="0.2">
      <c r="A21" s="68"/>
      <c r="B21" s="16" t="s">
        <v>153</v>
      </c>
      <c r="C21" s="23"/>
      <c r="D21" s="23" t="s">
        <v>154</v>
      </c>
      <c r="E21" s="23"/>
      <c r="F21" s="23"/>
      <c r="G21" s="23"/>
      <c r="H21" s="23" t="s">
        <v>155</v>
      </c>
      <c r="I21" s="23"/>
      <c r="J21" s="23"/>
      <c r="K21" s="23"/>
      <c r="L21" s="23" t="s">
        <v>156</v>
      </c>
      <c r="M21" s="23" t="s">
        <v>157</v>
      </c>
      <c r="N21" s="23" t="s">
        <v>158</v>
      </c>
      <c r="O21" s="23"/>
      <c r="P21" s="23"/>
      <c r="Q21" s="23"/>
      <c r="R21" s="23"/>
      <c r="S21" s="23"/>
      <c r="T21" s="23" t="s">
        <v>159</v>
      </c>
      <c r="U21" s="23"/>
      <c r="V21" s="23" t="s">
        <v>160</v>
      </c>
      <c r="W21" s="23"/>
      <c r="X21" s="23" t="s">
        <v>161</v>
      </c>
      <c r="Y21" s="23"/>
      <c r="Z21" s="23"/>
    </row>
    <row r="22" spans="1:26" ht="30.95" customHeight="1" x14ac:dyDescent="0.2">
      <c r="A22" s="68"/>
      <c r="B22" s="16" t="s">
        <v>162</v>
      </c>
      <c r="C22" s="18"/>
      <c r="D22" s="18" t="s">
        <v>163</v>
      </c>
      <c r="E22" s="18"/>
      <c r="F22" s="18"/>
      <c r="G22" s="18"/>
      <c r="H22" s="18" t="s">
        <v>164</v>
      </c>
      <c r="I22" s="18"/>
      <c r="J22" s="18"/>
      <c r="K22" s="18"/>
      <c r="L22" s="19" t="s">
        <v>165</v>
      </c>
      <c r="M22" s="18" t="s">
        <v>166</v>
      </c>
      <c r="N22" s="18"/>
      <c r="O22" s="18"/>
      <c r="P22" s="18"/>
      <c r="Q22" s="18"/>
      <c r="R22" s="18" t="s">
        <v>167</v>
      </c>
      <c r="S22" s="18"/>
      <c r="T22" s="18"/>
      <c r="U22" s="18"/>
      <c r="V22" s="18" t="s">
        <v>168</v>
      </c>
      <c r="W22" s="18"/>
      <c r="X22" s="18"/>
      <c r="Y22" s="18"/>
      <c r="Z22" s="18"/>
    </row>
    <row r="23" spans="1:26" ht="30.95" customHeight="1" x14ac:dyDescent="0.2">
      <c r="A23" s="68"/>
      <c r="B23" s="16" t="s">
        <v>169</v>
      </c>
      <c r="C23" s="23"/>
      <c r="D23" s="23"/>
      <c r="E23" s="23"/>
      <c r="F23" s="24"/>
      <c r="G23" s="24"/>
      <c r="H23" s="24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30.95" customHeight="1" x14ac:dyDescent="0.2">
      <c r="A24" s="67" t="s">
        <v>170</v>
      </c>
      <c r="B24" s="16" t="s">
        <v>171</v>
      </c>
      <c r="C24" s="18"/>
      <c r="D24" s="18"/>
      <c r="E24" s="18"/>
      <c r="F24" s="22"/>
      <c r="G24" s="22"/>
      <c r="H24" s="22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30.95" customHeight="1" x14ac:dyDescent="0.2">
      <c r="A25" s="68"/>
      <c r="B25" s="16" t="s">
        <v>172</v>
      </c>
      <c r="C25" s="23"/>
      <c r="D25" s="23"/>
      <c r="E25" s="23" t="s">
        <v>173</v>
      </c>
      <c r="F25" s="23" t="s">
        <v>174</v>
      </c>
      <c r="G25" s="23" t="s">
        <v>175</v>
      </c>
      <c r="H25" s="23"/>
      <c r="I25" s="23" t="s">
        <v>176</v>
      </c>
      <c r="J25" s="23" t="s">
        <v>177</v>
      </c>
      <c r="K25" s="23" t="s">
        <v>178</v>
      </c>
      <c r="L25" s="23"/>
      <c r="M25" s="23"/>
      <c r="N25" s="23"/>
      <c r="O25" s="23" t="s">
        <v>179</v>
      </c>
      <c r="P25" s="23" t="s">
        <v>180</v>
      </c>
      <c r="Q25" s="23" t="s">
        <v>181</v>
      </c>
      <c r="R25" s="23"/>
      <c r="S25" s="23" t="s">
        <v>182</v>
      </c>
      <c r="T25" s="23"/>
      <c r="U25" s="23" t="s">
        <v>183</v>
      </c>
      <c r="V25" s="23"/>
      <c r="W25" s="23" t="s">
        <v>184</v>
      </c>
      <c r="X25" s="23"/>
      <c r="Y25" s="23"/>
      <c r="Z25" s="23"/>
    </row>
    <row r="26" spans="1:26" ht="30.95" customHeight="1" x14ac:dyDescent="0.2">
      <c r="A26" s="68"/>
      <c r="B26" s="16" t="s">
        <v>185</v>
      </c>
      <c r="C26" s="18"/>
      <c r="D26" s="18"/>
      <c r="E26" s="18" t="s">
        <v>186</v>
      </c>
      <c r="F26" s="18" t="s">
        <v>187</v>
      </c>
      <c r="G26" s="18" t="s">
        <v>188</v>
      </c>
      <c r="H26" s="18"/>
      <c r="I26" s="18" t="s">
        <v>189</v>
      </c>
      <c r="J26" s="19" t="s">
        <v>190</v>
      </c>
      <c r="K26" s="19" t="s">
        <v>191</v>
      </c>
      <c r="L26" s="18"/>
      <c r="M26" s="18"/>
      <c r="N26" s="18"/>
      <c r="O26" s="18"/>
      <c r="P26" s="18" t="s">
        <v>192</v>
      </c>
      <c r="Q26" s="19" t="s">
        <v>193</v>
      </c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30.95" customHeight="1" x14ac:dyDescent="0.2">
      <c r="A27" s="68"/>
      <c r="B27" s="16" t="s">
        <v>194</v>
      </c>
      <c r="C27" s="23"/>
      <c r="D27" s="23" t="s">
        <v>195</v>
      </c>
      <c r="E27" s="23"/>
      <c r="F27" s="23"/>
      <c r="G27" s="23"/>
      <c r="H27" s="23" t="s">
        <v>196</v>
      </c>
      <c r="I27" s="23"/>
      <c r="J27" s="23"/>
      <c r="K27" s="23"/>
      <c r="L27" s="23" t="s">
        <v>197</v>
      </c>
      <c r="M27" s="23" t="s">
        <v>198</v>
      </c>
      <c r="N27" s="23" t="s">
        <v>199</v>
      </c>
      <c r="O27" s="23"/>
      <c r="P27" s="23"/>
      <c r="Q27" s="23"/>
      <c r="R27" s="23" t="s">
        <v>200</v>
      </c>
      <c r="S27" s="23"/>
      <c r="T27" s="23" t="s">
        <v>201</v>
      </c>
      <c r="U27" s="23"/>
      <c r="V27" s="23" t="s">
        <v>202</v>
      </c>
      <c r="W27" s="23"/>
      <c r="X27" s="23" t="s">
        <v>203</v>
      </c>
      <c r="Y27" s="23"/>
      <c r="Z27" s="23"/>
    </row>
    <row r="28" spans="1:26" ht="30.95" customHeight="1" x14ac:dyDescent="0.2">
      <c r="A28" s="68"/>
      <c r="B28" s="16" t="s">
        <v>204</v>
      </c>
      <c r="C28" s="18"/>
      <c r="D28" s="19" t="s">
        <v>205</v>
      </c>
      <c r="E28" s="18"/>
      <c r="F28" s="18"/>
      <c r="G28" s="18"/>
      <c r="H28" s="19" t="s">
        <v>206</v>
      </c>
      <c r="I28" s="18"/>
      <c r="J28" s="18"/>
      <c r="K28" s="18"/>
      <c r="L28" s="18" t="s">
        <v>207</v>
      </c>
      <c r="M28" s="19" t="s">
        <v>208</v>
      </c>
      <c r="N28" s="19" t="s">
        <v>209</v>
      </c>
      <c r="O28" s="18"/>
      <c r="P28" s="18"/>
      <c r="Q28" s="18"/>
      <c r="R28" s="18"/>
      <c r="S28" s="18"/>
      <c r="T28" s="18"/>
      <c r="U28" s="18"/>
      <c r="V28" s="20" t="s">
        <v>210</v>
      </c>
      <c r="W28" s="18"/>
      <c r="X28" s="18"/>
      <c r="Y28" s="18"/>
      <c r="Z28" s="18"/>
    </row>
    <row r="29" spans="1:26" ht="30.95" customHeight="1" x14ac:dyDescent="0.2">
      <c r="A29" s="68"/>
      <c r="B29" s="16" t="s">
        <v>211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30.95" customHeight="1" x14ac:dyDescent="0.2">
      <c r="A30" s="68"/>
      <c r="B30" s="16" t="s">
        <v>212</v>
      </c>
      <c r="C30" s="19" t="s">
        <v>213</v>
      </c>
      <c r="D30" s="18"/>
      <c r="E30" s="20" t="s">
        <v>214</v>
      </c>
      <c r="F30" s="19" t="s">
        <v>215</v>
      </c>
      <c r="G30" s="18" t="s">
        <v>216</v>
      </c>
      <c r="H30" s="18"/>
      <c r="I30" s="19" t="s">
        <v>217</v>
      </c>
      <c r="J30" s="18" t="s">
        <v>218</v>
      </c>
      <c r="K30" s="18" t="s">
        <v>219</v>
      </c>
      <c r="L30" s="18"/>
      <c r="M30" s="18"/>
      <c r="N30" s="18"/>
      <c r="O30" s="18" t="s">
        <v>220</v>
      </c>
      <c r="P30" s="19" t="s">
        <v>221</v>
      </c>
      <c r="Q30" s="18" t="s">
        <v>222</v>
      </c>
      <c r="R30" s="18"/>
      <c r="S30" s="19" t="s">
        <v>223</v>
      </c>
      <c r="T30" s="18"/>
      <c r="U30" s="18"/>
      <c r="V30" s="18"/>
      <c r="W30" s="20" t="s">
        <v>224</v>
      </c>
      <c r="X30" s="18"/>
      <c r="Y30" s="19" t="s">
        <v>225</v>
      </c>
      <c r="Z30" s="18"/>
    </row>
    <row r="31" spans="1:26" ht="30.95" customHeight="1" x14ac:dyDescent="0.2">
      <c r="A31" s="68"/>
      <c r="B31" s="16" t="s">
        <v>226</v>
      </c>
      <c r="C31" s="23" t="s">
        <v>227</v>
      </c>
      <c r="D31" s="23"/>
      <c r="E31" s="23" t="s">
        <v>228</v>
      </c>
      <c r="F31" s="23"/>
      <c r="G31" s="23"/>
      <c r="H31" s="23"/>
      <c r="I31" s="23" t="s">
        <v>229</v>
      </c>
      <c r="J31" s="23" t="s">
        <v>230</v>
      </c>
      <c r="K31" s="23" t="s">
        <v>231</v>
      </c>
      <c r="L31" s="23"/>
      <c r="M31" s="23"/>
      <c r="N31" s="23"/>
      <c r="O31" s="23" t="s">
        <v>232</v>
      </c>
      <c r="P31" s="23" t="s">
        <v>233</v>
      </c>
      <c r="Q31" s="23"/>
      <c r="R31" s="23"/>
      <c r="S31" s="23"/>
      <c r="T31" s="23"/>
      <c r="U31" s="23"/>
      <c r="V31" s="23" t="s">
        <v>234</v>
      </c>
      <c r="W31" s="23"/>
      <c r="X31" s="23"/>
      <c r="Y31" s="23"/>
      <c r="Z31" s="23"/>
    </row>
    <row r="32" spans="1:26" ht="30.95" customHeight="1" x14ac:dyDescent="0.2">
      <c r="A32" s="68"/>
      <c r="B32" s="16" t="s">
        <v>235</v>
      </c>
      <c r="C32" s="18" t="s">
        <v>236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30.95" customHeight="1" x14ac:dyDescent="0.2">
      <c r="A33" s="68"/>
      <c r="B33" s="16" t="s">
        <v>237</v>
      </c>
      <c r="C33" s="23" t="s">
        <v>238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30.95" customHeight="1" x14ac:dyDescent="0.2">
      <c r="A34" s="67" t="s">
        <v>239</v>
      </c>
      <c r="B34" s="16" t="s">
        <v>240</v>
      </c>
      <c r="C34" s="18"/>
      <c r="D34" s="18" t="s">
        <v>241</v>
      </c>
      <c r="E34" s="18"/>
      <c r="F34" s="22"/>
      <c r="G34" s="22"/>
      <c r="H34" s="22" t="s">
        <v>242</v>
      </c>
      <c r="I34" s="18"/>
      <c r="J34" s="18"/>
      <c r="K34" s="18"/>
      <c r="L34" s="18" t="s">
        <v>243</v>
      </c>
      <c r="M34" s="18" t="s">
        <v>244</v>
      </c>
      <c r="N34" s="18" t="s">
        <v>245</v>
      </c>
      <c r="O34" s="18"/>
      <c r="P34" s="18"/>
      <c r="Q34" s="18"/>
      <c r="R34" s="19" t="s">
        <v>246</v>
      </c>
      <c r="S34" s="18"/>
      <c r="T34" s="18" t="s">
        <v>247</v>
      </c>
      <c r="U34" s="18"/>
      <c r="V34" s="18" t="s">
        <v>248</v>
      </c>
      <c r="W34" s="18"/>
      <c r="X34" s="19" t="s">
        <v>249</v>
      </c>
      <c r="Y34" s="18"/>
      <c r="Z34" s="18"/>
    </row>
    <row r="35" spans="1:26" ht="30.95" customHeight="1" x14ac:dyDescent="0.2">
      <c r="A35" s="68"/>
      <c r="B35" s="16" t="s">
        <v>250</v>
      </c>
      <c r="C35" s="23"/>
      <c r="D35" s="23"/>
      <c r="E35" s="23"/>
      <c r="F35" s="24"/>
      <c r="G35" s="24"/>
      <c r="H35" s="24" t="s">
        <v>251</v>
      </c>
      <c r="I35" s="23"/>
      <c r="J35" s="23"/>
      <c r="K35" s="23"/>
      <c r="L35" s="23" t="s">
        <v>252</v>
      </c>
      <c r="M35" s="23" t="s">
        <v>253</v>
      </c>
      <c r="N35" s="23" t="s">
        <v>254</v>
      </c>
      <c r="O35" s="23"/>
      <c r="P35" s="23"/>
      <c r="Q35" s="23"/>
      <c r="R35" s="23" t="s">
        <v>255</v>
      </c>
      <c r="S35" s="23"/>
      <c r="T35" s="23"/>
      <c r="U35" s="23"/>
      <c r="V35" s="23" t="s">
        <v>256</v>
      </c>
      <c r="W35" s="23"/>
      <c r="X35" s="23"/>
      <c r="Y35" s="23"/>
      <c r="Z35" s="23"/>
    </row>
    <row r="36" spans="1:26" ht="30.95" customHeight="1" x14ac:dyDescent="0.2">
      <c r="A36" s="68"/>
      <c r="B36" s="16" t="s">
        <v>257</v>
      </c>
      <c r="C36" s="19" t="s">
        <v>258</v>
      </c>
      <c r="D36" s="18"/>
      <c r="E36" s="18" t="s">
        <v>259</v>
      </c>
      <c r="F36" s="22" t="s">
        <v>260</v>
      </c>
      <c r="G36" s="22"/>
      <c r="H36" s="22"/>
      <c r="I36" s="19" t="s">
        <v>261</v>
      </c>
      <c r="J36" s="19" t="s">
        <v>262</v>
      </c>
      <c r="K36" s="18" t="s">
        <v>263</v>
      </c>
      <c r="L36" s="18"/>
      <c r="M36" s="18"/>
      <c r="N36" s="18"/>
      <c r="O36" s="19" t="s">
        <v>264</v>
      </c>
      <c r="P36" s="18"/>
      <c r="Q36" s="18"/>
      <c r="R36" s="18"/>
      <c r="S36" s="18" t="s">
        <v>265</v>
      </c>
      <c r="T36" s="18"/>
      <c r="U36" s="19" t="s">
        <v>266</v>
      </c>
      <c r="V36" s="18"/>
      <c r="W36" s="18" t="s">
        <v>267</v>
      </c>
      <c r="X36" s="18"/>
      <c r="Y36" s="18" t="s">
        <v>268</v>
      </c>
      <c r="Z36" s="18"/>
    </row>
    <row r="37" spans="1:26" ht="30.95" customHeight="1" x14ac:dyDescent="0.2">
      <c r="A37" s="68"/>
      <c r="B37" s="16" t="s">
        <v>269</v>
      </c>
      <c r="C37" s="23" t="s">
        <v>270</v>
      </c>
      <c r="D37" s="23"/>
      <c r="E37" s="23" t="s">
        <v>271</v>
      </c>
      <c r="F37" s="24"/>
      <c r="G37" s="24" t="s">
        <v>272</v>
      </c>
      <c r="H37" s="24"/>
      <c r="I37" s="23" t="s">
        <v>273</v>
      </c>
      <c r="J37" s="23" t="s">
        <v>274</v>
      </c>
      <c r="K37" s="23" t="s">
        <v>275</v>
      </c>
      <c r="L37" s="23"/>
      <c r="M37" s="23"/>
      <c r="N37" s="23"/>
      <c r="O37" s="23" t="s">
        <v>276</v>
      </c>
      <c r="P37" s="23" t="s">
        <v>277</v>
      </c>
      <c r="Q37" s="23" t="s">
        <v>278</v>
      </c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30.95" customHeight="1" x14ac:dyDescent="0.2">
      <c r="A38" s="68"/>
      <c r="B38" s="16" t="s">
        <v>279</v>
      </c>
      <c r="C38" s="18"/>
      <c r="D38" s="18"/>
      <c r="E38" s="18"/>
      <c r="F38" s="22"/>
      <c r="G38" s="22"/>
      <c r="H38" s="22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30.95" customHeight="1" x14ac:dyDescent="0.2">
      <c r="A39" s="69"/>
      <c r="B39" s="16" t="s">
        <v>280</v>
      </c>
      <c r="C39" s="23"/>
      <c r="D39" s="23"/>
      <c r="E39" s="23"/>
      <c r="F39" s="24"/>
      <c r="G39" s="24"/>
      <c r="H39" s="24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30.95" customHeight="1" x14ac:dyDescent="0.2">
      <c r="A40" s="67" t="s">
        <v>281</v>
      </c>
      <c r="B40" s="16" t="s">
        <v>282</v>
      </c>
      <c r="C40" s="18"/>
      <c r="D40" s="18"/>
      <c r="E40" s="18"/>
      <c r="F40" s="22"/>
      <c r="G40" s="22"/>
      <c r="H40" s="22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30.95" customHeight="1" x14ac:dyDescent="0.2">
      <c r="A41" s="68"/>
      <c r="B41" s="16" t="s">
        <v>283</v>
      </c>
      <c r="C41" s="23"/>
      <c r="D41" s="23"/>
      <c r="E41" s="23"/>
      <c r="F41" s="24"/>
      <c r="G41" s="24"/>
      <c r="H41" s="24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30.95" customHeight="1" x14ac:dyDescent="0.2">
      <c r="A42" s="68"/>
      <c r="B42" s="16" t="s">
        <v>284</v>
      </c>
      <c r="C42" s="18"/>
      <c r="D42" s="18"/>
      <c r="E42" s="18"/>
      <c r="F42" s="18"/>
      <c r="G42" s="18"/>
      <c r="H42" s="19" t="s">
        <v>285</v>
      </c>
      <c r="I42" s="18"/>
      <c r="J42" s="18"/>
      <c r="K42" s="18"/>
      <c r="L42" s="19" t="s">
        <v>286</v>
      </c>
      <c r="M42" s="18" t="s">
        <v>287</v>
      </c>
      <c r="N42" s="18" t="s">
        <v>288</v>
      </c>
      <c r="O42" s="18"/>
      <c r="P42" s="18"/>
      <c r="Q42" s="18"/>
      <c r="R42" s="18"/>
      <c r="S42" s="18"/>
      <c r="T42" s="19" t="s">
        <v>289</v>
      </c>
      <c r="U42" s="18"/>
      <c r="V42" s="20" t="s">
        <v>290</v>
      </c>
      <c r="W42" s="18"/>
      <c r="X42" s="19" t="s">
        <v>291</v>
      </c>
      <c r="Y42" s="18"/>
      <c r="Z42" s="18"/>
    </row>
    <row r="43" spans="1:26" ht="30.95" customHeight="1" x14ac:dyDescent="0.2">
      <c r="A43" s="68"/>
      <c r="B43" s="16" t="s">
        <v>292</v>
      </c>
      <c r="C43" s="23"/>
      <c r="D43" s="23" t="s">
        <v>293</v>
      </c>
      <c r="E43" s="23"/>
      <c r="F43" s="24"/>
      <c r="G43" s="24"/>
      <c r="H43" s="24" t="s">
        <v>294</v>
      </c>
      <c r="I43" s="23"/>
      <c r="J43" s="23"/>
      <c r="K43" s="23"/>
      <c r="L43" s="23" t="s">
        <v>295</v>
      </c>
      <c r="M43" s="23" t="s">
        <v>296</v>
      </c>
      <c r="N43" s="23" t="s">
        <v>297</v>
      </c>
      <c r="O43" s="23"/>
      <c r="P43" s="23"/>
      <c r="Q43" s="23"/>
      <c r="R43" s="23" t="s">
        <v>298</v>
      </c>
      <c r="S43" s="23"/>
      <c r="T43" s="23"/>
      <c r="U43" s="23"/>
      <c r="V43" s="23" t="s">
        <v>299</v>
      </c>
      <c r="W43" s="23"/>
      <c r="X43" s="23" t="s">
        <v>300</v>
      </c>
      <c r="Y43" s="23"/>
      <c r="Z43" s="23"/>
    </row>
    <row r="44" spans="1:26" ht="30.95" customHeight="1" x14ac:dyDescent="0.2">
      <c r="A44" s="68"/>
      <c r="B44" s="16" t="s">
        <v>301</v>
      </c>
      <c r="C44" s="19" t="s">
        <v>302</v>
      </c>
      <c r="D44" s="18"/>
      <c r="E44" s="20" t="s">
        <v>303</v>
      </c>
      <c r="F44" s="20" t="s">
        <v>304</v>
      </c>
      <c r="G44" s="20" t="s">
        <v>305</v>
      </c>
      <c r="H44" s="18"/>
      <c r="I44" s="19" t="s">
        <v>306</v>
      </c>
      <c r="J44" s="18" t="s">
        <v>307</v>
      </c>
      <c r="K44" s="18" t="s">
        <v>308</v>
      </c>
      <c r="L44" s="18"/>
      <c r="M44" s="18"/>
      <c r="N44" s="18"/>
      <c r="O44" s="18" t="s">
        <v>309</v>
      </c>
      <c r="P44" s="18" t="s">
        <v>309</v>
      </c>
      <c r="Q44" s="19" t="s">
        <v>310</v>
      </c>
      <c r="R44" s="18"/>
      <c r="S44" s="18" t="s">
        <v>311</v>
      </c>
      <c r="T44" s="18"/>
      <c r="U44" s="19" t="s">
        <v>312</v>
      </c>
      <c r="V44" s="18"/>
      <c r="W44" s="18"/>
      <c r="X44" s="18"/>
      <c r="Y44" s="18" t="s">
        <v>313</v>
      </c>
      <c r="Z44" s="18"/>
    </row>
    <row r="45" spans="1:26" ht="30.95" customHeight="1" x14ac:dyDescent="0.2">
      <c r="A45" s="68"/>
      <c r="B45" s="16" t="s">
        <v>314</v>
      </c>
      <c r="C45" s="23" t="s">
        <v>315</v>
      </c>
      <c r="D45" s="23"/>
      <c r="E45" s="23" t="s">
        <v>316</v>
      </c>
      <c r="F45" s="23" t="s">
        <v>317</v>
      </c>
      <c r="G45" s="23" t="s">
        <v>318</v>
      </c>
      <c r="H45" s="23"/>
      <c r="I45" s="23" t="s">
        <v>319</v>
      </c>
      <c r="J45" s="23" t="s">
        <v>320</v>
      </c>
      <c r="K45" s="23" t="s">
        <v>321</v>
      </c>
      <c r="L45" s="23"/>
      <c r="M45" s="23"/>
      <c r="N45" s="23"/>
      <c r="O45" s="23" t="s">
        <v>309</v>
      </c>
      <c r="P45" s="23" t="s">
        <v>309</v>
      </c>
      <c r="Q45" s="23" t="s">
        <v>322</v>
      </c>
      <c r="R45" s="23"/>
      <c r="S45" s="23"/>
      <c r="T45" s="23"/>
      <c r="U45" s="23"/>
      <c r="V45" s="23"/>
      <c r="W45" s="23" t="s">
        <v>290</v>
      </c>
      <c r="X45" s="23"/>
      <c r="Y45" s="23"/>
      <c r="Z45" s="23"/>
    </row>
    <row r="46" spans="1:26" ht="30.95" customHeight="1" x14ac:dyDescent="0.2">
      <c r="A46" s="68"/>
      <c r="B46" s="16" t="s">
        <v>323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 t="s">
        <v>324</v>
      </c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30.95" customHeight="1" x14ac:dyDescent="0.2">
      <c r="A47" s="68"/>
      <c r="B47" s="16" t="s">
        <v>325</v>
      </c>
      <c r="C47" s="23"/>
      <c r="D47" s="23" t="s">
        <v>326</v>
      </c>
      <c r="E47" s="23"/>
      <c r="F47" s="24"/>
      <c r="G47" s="24"/>
      <c r="H47" s="24" t="s">
        <v>327</v>
      </c>
      <c r="I47" s="23"/>
      <c r="J47" s="23"/>
      <c r="K47" s="23"/>
      <c r="L47" s="23" t="s">
        <v>328</v>
      </c>
      <c r="M47" s="23" t="s">
        <v>329</v>
      </c>
      <c r="N47" s="23" t="s">
        <v>330</v>
      </c>
      <c r="O47" s="23"/>
      <c r="P47" s="23"/>
      <c r="Q47" s="23"/>
      <c r="R47" s="23" t="s">
        <v>331</v>
      </c>
      <c r="S47" s="23"/>
      <c r="T47" s="23" t="s">
        <v>332</v>
      </c>
      <c r="U47" s="23"/>
      <c r="V47" s="23" t="s">
        <v>333</v>
      </c>
      <c r="W47" s="23"/>
      <c r="X47" s="23" t="s">
        <v>334</v>
      </c>
      <c r="Y47" s="23"/>
      <c r="Z47" s="23"/>
    </row>
    <row r="48" spans="1:26" ht="30.95" customHeight="1" x14ac:dyDescent="0.2">
      <c r="A48" s="68"/>
      <c r="B48" s="16" t="s">
        <v>335</v>
      </c>
      <c r="C48" s="18"/>
      <c r="D48" s="18" t="s">
        <v>336</v>
      </c>
      <c r="E48" s="18"/>
      <c r="F48" s="22"/>
      <c r="G48" s="22"/>
      <c r="H48" s="22" t="s">
        <v>337</v>
      </c>
      <c r="I48" s="18"/>
      <c r="J48" s="18"/>
      <c r="K48" s="18"/>
      <c r="L48" s="18" t="s">
        <v>338</v>
      </c>
      <c r="M48" s="19" t="s">
        <v>339</v>
      </c>
      <c r="N48" s="19" t="s">
        <v>340</v>
      </c>
      <c r="O48" s="18"/>
      <c r="P48" s="18"/>
      <c r="Q48" s="18"/>
      <c r="R48" s="18"/>
      <c r="S48" s="18"/>
      <c r="T48" s="18"/>
      <c r="U48" s="18"/>
      <c r="V48" s="20" t="s">
        <v>341</v>
      </c>
      <c r="W48" s="18"/>
      <c r="X48" s="18" t="s">
        <v>342</v>
      </c>
      <c r="Y48" s="18"/>
      <c r="Z48" s="18"/>
    </row>
    <row r="49" spans="1:26" ht="30.95" customHeight="1" x14ac:dyDescent="0.2">
      <c r="A49" s="68"/>
      <c r="B49" s="16" t="s">
        <v>343</v>
      </c>
      <c r="C49" s="23"/>
      <c r="D49" s="23"/>
      <c r="E49" s="23"/>
      <c r="F49" s="24"/>
      <c r="G49" s="24"/>
      <c r="H49" s="24"/>
      <c r="I49" s="23"/>
      <c r="J49" s="23"/>
      <c r="K49" s="23"/>
      <c r="L49" s="23"/>
      <c r="M49" s="23"/>
      <c r="N49" s="23"/>
      <c r="O49" s="23" t="s">
        <v>324</v>
      </c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30.95" customHeight="1" x14ac:dyDescent="0.2">
      <c r="A50" s="68"/>
      <c r="B50" s="16" t="s">
        <v>344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30.95" customHeight="1" x14ac:dyDescent="0.2">
      <c r="A51" s="69"/>
      <c r="B51" s="16" t="s">
        <v>345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30.95" customHeight="1" x14ac:dyDescent="0.2">
      <c r="A52" s="67" t="s">
        <v>346</v>
      </c>
      <c r="B52" s="16" t="s">
        <v>347</v>
      </c>
      <c r="C52" s="18" t="s">
        <v>348</v>
      </c>
      <c r="D52" s="18"/>
      <c r="E52" s="18"/>
      <c r="F52" s="18" t="s">
        <v>349</v>
      </c>
      <c r="G52" s="18" t="s">
        <v>350</v>
      </c>
      <c r="H52" s="18"/>
      <c r="I52" s="19" t="s">
        <v>351</v>
      </c>
      <c r="J52" s="22" t="s">
        <v>309</v>
      </c>
      <c r="K52" s="19" t="s">
        <v>352</v>
      </c>
      <c r="L52" s="18"/>
      <c r="M52" s="18"/>
      <c r="N52" s="18"/>
      <c r="O52" s="18" t="s">
        <v>353</v>
      </c>
      <c r="P52" s="18" t="s">
        <v>353</v>
      </c>
      <c r="Q52" s="18" t="s">
        <v>354</v>
      </c>
      <c r="R52" s="18"/>
      <c r="S52" s="19" t="s">
        <v>355</v>
      </c>
      <c r="T52" s="18"/>
      <c r="U52" s="18" t="s">
        <v>356</v>
      </c>
      <c r="V52" s="18"/>
      <c r="W52" s="20" t="s">
        <v>357</v>
      </c>
      <c r="X52" s="18"/>
      <c r="Y52" s="19" t="s">
        <v>358</v>
      </c>
      <c r="Z52" s="18"/>
    </row>
    <row r="53" spans="1:26" ht="30.95" customHeight="1" x14ac:dyDescent="0.2">
      <c r="A53" s="68"/>
      <c r="B53" s="16" t="s">
        <v>359</v>
      </c>
      <c r="C53" s="23" t="s">
        <v>360</v>
      </c>
      <c r="D53" s="23"/>
      <c r="E53" s="23"/>
      <c r="F53" s="23" t="s">
        <v>361</v>
      </c>
      <c r="G53" s="23" t="s">
        <v>362</v>
      </c>
      <c r="H53" s="23"/>
      <c r="I53" s="23" t="s">
        <v>363</v>
      </c>
      <c r="J53" s="24" t="s">
        <v>309</v>
      </c>
      <c r="K53" s="23" t="s">
        <v>364</v>
      </c>
      <c r="L53" s="23"/>
      <c r="M53" s="23"/>
      <c r="N53" s="23"/>
      <c r="O53" s="23" t="s">
        <v>353</v>
      </c>
      <c r="P53" s="23" t="s">
        <v>353</v>
      </c>
      <c r="Q53" s="23" t="s">
        <v>365</v>
      </c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30.95" customHeight="1" x14ac:dyDescent="0.2">
      <c r="A54" s="68"/>
      <c r="B54" s="16" t="s">
        <v>366</v>
      </c>
      <c r="C54" s="18"/>
      <c r="D54" s="19" t="s">
        <v>367</v>
      </c>
      <c r="E54" s="18"/>
      <c r="F54" s="18"/>
      <c r="G54" s="18"/>
      <c r="H54" s="18"/>
      <c r="I54" s="18"/>
      <c r="J54" s="18"/>
      <c r="K54" s="18"/>
      <c r="L54" s="18" t="s">
        <v>309</v>
      </c>
      <c r="M54" s="22" t="s">
        <v>309</v>
      </c>
      <c r="N54" s="18"/>
      <c r="O54" s="18"/>
      <c r="P54" s="18"/>
      <c r="Q54" s="18"/>
      <c r="R54" s="19" t="s">
        <v>368</v>
      </c>
      <c r="S54" s="18"/>
      <c r="T54" s="19" t="s">
        <v>369</v>
      </c>
      <c r="U54" s="18"/>
      <c r="V54" s="20" t="s">
        <v>370</v>
      </c>
      <c r="W54" s="18"/>
      <c r="X54" s="18"/>
      <c r="Y54" s="18"/>
      <c r="Z54" s="18"/>
    </row>
    <row r="55" spans="1:26" ht="30.95" customHeight="1" x14ac:dyDescent="0.2">
      <c r="A55" s="68"/>
      <c r="B55" s="16" t="s">
        <v>371</v>
      </c>
      <c r="C55" s="23"/>
      <c r="D55" s="23" t="s">
        <v>372</v>
      </c>
      <c r="E55" s="23"/>
      <c r="F55" s="23"/>
      <c r="G55" s="23"/>
      <c r="H55" s="23"/>
      <c r="I55" s="23"/>
      <c r="J55" s="23"/>
      <c r="K55" s="23"/>
      <c r="L55" s="23" t="s">
        <v>309</v>
      </c>
      <c r="M55" s="24" t="s">
        <v>309</v>
      </c>
      <c r="N55" s="23" t="s">
        <v>373</v>
      </c>
      <c r="O55" s="23"/>
      <c r="P55" s="23"/>
      <c r="Q55" s="23"/>
      <c r="R55" s="23"/>
      <c r="S55" s="23"/>
      <c r="T55" s="23"/>
      <c r="U55" s="23"/>
      <c r="V55" s="23" t="s">
        <v>374</v>
      </c>
      <c r="W55" s="23"/>
      <c r="X55" s="23"/>
      <c r="Y55" s="23"/>
      <c r="Z55" s="23"/>
    </row>
    <row r="56" spans="1:26" ht="30.95" customHeight="1" x14ac:dyDescent="0.2">
      <c r="A56" s="68"/>
      <c r="B56" s="16" t="s">
        <v>375</v>
      </c>
      <c r="C56" s="19" t="s">
        <v>376</v>
      </c>
      <c r="D56" s="18"/>
      <c r="E56" s="18"/>
      <c r="F56" s="20" t="s">
        <v>377</v>
      </c>
      <c r="G56" s="20" t="s">
        <v>378</v>
      </c>
      <c r="H56" s="18"/>
      <c r="I56" s="18" t="s">
        <v>379</v>
      </c>
      <c r="J56" s="18" t="s">
        <v>353</v>
      </c>
      <c r="K56" s="18" t="s">
        <v>380</v>
      </c>
      <c r="L56" s="18"/>
      <c r="M56" s="18"/>
      <c r="N56" s="18"/>
      <c r="O56" s="18" t="s">
        <v>381</v>
      </c>
      <c r="P56" s="18" t="s">
        <v>381</v>
      </c>
      <c r="Q56" s="18"/>
      <c r="R56" s="18"/>
      <c r="S56" s="18" t="s">
        <v>382</v>
      </c>
      <c r="T56" s="18"/>
      <c r="U56" s="19" t="s">
        <v>383</v>
      </c>
      <c r="V56" s="18"/>
      <c r="W56" s="20" t="s">
        <v>384</v>
      </c>
      <c r="X56" s="18"/>
      <c r="Y56" s="18"/>
      <c r="Z56" s="18"/>
    </row>
    <row r="57" spans="1:26" ht="30.95" customHeight="1" x14ac:dyDescent="0.2">
      <c r="A57" s="68"/>
      <c r="B57" s="16" t="s">
        <v>385</v>
      </c>
      <c r="C57" s="23" t="s">
        <v>386</v>
      </c>
      <c r="D57" s="23"/>
      <c r="E57" s="23"/>
      <c r="F57" s="23" t="s">
        <v>387</v>
      </c>
      <c r="G57" s="23" t="s">
        <v>388</v>
      </c>
      <c r="H57" s="23"/>
      <c r="I57" s="23" t="s">
        <v>389</v>
      </c>
      <c r="J57" s="23" t="s">
        <v>353</v>
      </c>
      <c r="K57" s="23" t="s">
        <v>390</v>
      </c>
      <c r="L57" s="23"/>
      <c r="M57" s="23"/>
      <c r="N57" s="23"/>
      <c r="O57" s="23" t="s">
        <v>381</v>
      </c>
      <c r="P57" s="23" t="s">
        <v>381</v>
      </c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30.95" customHeight="1" x14ac:dyDescent="0.2">
      <c r="A58" s="68"/>
      <c r="B58" s="16" t="s">
        <v>391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 t="s">
        <v>353</v>
      </c>
      <c r="N58" s="18" t="s">
        <v>392</v>
      </c>
      <c r="O58" s="18"/>
      <c r="P58" s="18"/>
      <c r="Q58" s="18"/>
      <c r="R58" s="18"/>
      <c r="S58" s="18"/>
      <c r="T58" s="18"/>
      <c r="U58" s="18"/>
      <c r="V58" s="18" t="s">
        <v>393</v>
      </c>
      <c r="W58" s="18"/>
      <c r="X58" s="18" t="s">
        <v>394</v>
      </c>
      <c r="Y58" s="18"/>
      <c r="Z58" s="18"/>
    </row>
    <row r="59" spans="1:26" ht="30.95" customHeight="1" x14ac:dyDescent="0.2">
      <c r="A59" s="69"/>
      <c r="B59" s="16" t="s">
        <v>395</v>
      </c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 t="s">
        <v>353</v>
      </c>
      <c r="N59" s="23" t="s">
        <v>396</v>
      </c>
      <c r="O59" s="23"/>
      <c r="P59" s="23"/>
      <c r="Q59" s="23"/>
      <c r="R59" s="23"/>
      <c r="S59" s="23"/>
      <c r="T59" s="23"/>
      <c r="U59" s="23"/>
      <c r="V59" s="23" t="s">
        <v>397</v>
      </c>
      <c r="W59" s="23"/>
      <c r="X59" s="23"/>
      <c r="Y59" s="23"/>
      <c r="Z59" s="23"/>
    </row>
    <row r="60" spans="1:26" ht="30.95" customHeight="1" x14ac:dyDescent="0.2">
      <c r="A60" s="67" t="s">
        <v>398</v>
      </c>
      <c r="B60" s="16" t="s">
        <v>399</v>
      </c>
      <c r="C60" s="18"/>
      <c r="D60" s="18" t="s">
        <v>400</v>
      </c>
      <c r="E60" s="18"/>
      <c r="F60" s="18"/>
      <c r="G60" s="18"/>
      <c r="H60" s="18"/>
      <c r="I60" s="18"/>
      <c r="J60" s="18" t="s">
        <v>381</v>
      </c>
      <c r="K60" s="18"/>
      <c r="L60" s="18" t="s">
        <v>353</v>
      </c>
      <c r="M60" s="18"/>
      <c r="N60" s="18"/>
      <c r="O60" s="18"/>
      <c r="P60" s="18"/>
      <c r="Q60" s="18"/>
      <c r="R60" s="18" t="s">
        <v>401</v>
      </c>
      <c r="S60" s="18"/>
      <c r="T60" s="18" t="s">
        <v>402</v>
      </c>
      <c r="U60" s="18"/>
      <c r="V60" s="18" t="s">
        <v>403</v>
      </c>
      <c r="W60" s="18"/>
      <c r="X60" s="18"/>
      <c r="Y60" s="18" t="s">
        <v>404</v>
      </c>
      <c r="Z60" s="18"/>
    </row>
    <row r="61" spans="1:26" ht="30.95" customHeight="1" x14ac:dyDescent="0.2">
      <c r="A61" s="68"/>
      <c r="B61" s="16" t="s">
        <v>405</v>
      </c>
      <c r="C61" s="23"/>
      <c r="D61" s="23" t="s">
        <v>406</v>
      </c>
      <c r="E61" s="23"/>
      <c r="F61" s="23"/>
      <c r="G61" s="23"/>
      <c r="H61" s="23"/>
      <c r="I61" s="23"/>
      <c r="J61" s="23" t="s">
        <v>381</v>
      </c>
      <c r="K61" s="23"/>
      <c r="L61" s="23" t="s">
        <v>353</v>
      </c>
      <c r="M61" s="23"/>
      <c r="N61" s="23"/>
      <c r="O61" s="23"/>
      <c r="P61" s="23"/>
      <c r="Q61" s="23"/>
      <c r="R61" s="23" t="s">
        <v>407</v>
      </c>
      <c r="S61" s="23"/>
      <c r="T61" s="23"/>
      <c r="U61" s="23"/>
      <c r="V61" s="23" t="s">
        <v>408</v>
      </c>
      <c r="W61" s="23"/>
      <c r="X61" s="23"/>
      <c r="Y61" s="23"/>
      <c r="Z61" s="23"/>
    </row>
    <row r="62" spans="1:26" ht="30.95" customHeight="1" x14ac:dyDescent="0.2">
      <c r="A62" s="68"/>
      <c r="B62" s="16" t="s">
        <v>409</v>
      </c>
      <c r="C62" s="18" t="s">
        <v>410</v>
      </c>
      <c r="D62" s="18"/>
      <c r="E62" s="18"/>
      <c r="F62" s="18"/>
      <c r="G62" s="18"/>
      <c r="H62" s="18"/>
      <c r="I62" s="19" t="s">
        <v>411</v>
      </c>
      <c r="J62" s="18"/>
      <c r="K62" s="18" t="s">
        <v>412</v>
      </c>
      <c r="L62" s="18"/>
      <c r="M62" s="18"/>
      <c r="N62" s="18"/>
      <c r="O62" s="18" t="s">
        <v>413</v>
      </c>
      <c r="P62" s="18" t="s">
        <v>414</v>
      </c>
      <c r="Q62" s="18"/>
      <c r="R62" s="18"/>
      <c r="S62" s="18" t="s">
        <v>415</v>
      </c>
      <c r="T62" s="18"/>
      <c r="U62" s="18"/>
      <c r="V62" s="18"/>
      <c r="W62" s="20" t="s">
        <v>416</v>
      </c>
      <c r="X62" s="18"/>
      <c r="Y62" s="18"/>
      <c r="Z62" s="18"/>
    </row>
    <row r="63" spans="1:26" s="2" customFormat="1" ht="30.95" customHeight="1" x14ac:dyDescent="0.2">
      <c r="A63" s="68"/>
      <c r="B63" s="16" t="s">
        <v>417</v>
      </c>
      <c r="C63" s="23" t="s">
        <v>418</v>
      </c>
      <c r="D63" s="23"/>
      <c r="E63" s="23"/>
      <c r="F63" s="23" t="s">
        <v>419</v>
      </c>
      <c r="G63" s="23" t="s">
        <v>420</v>
      </c>
      <c r="H63" s="23"/>
      <c r="I63" s="23" t="s">
        <v>421</v>
      </c>
      <c r="J63" s="23"/>
      <c r="K63" s="23" t="s">
        <v>422</v>
      </c>
      <c r="L63" s="23"/>
      <c r="M63" s="23"/>
      <c r="N63" s="23"/>
      <c r="O63" s="23" t="s">
        <v>413</v>
      </c>
      <c r="P63" s="23" t="s">
        <v>413</v>
      </c>
      <c r="Q63" s="23"/>
      <c r="R63" s="23"/>
      <c r="S63" s="23"/>
      <c r="T63" s="23"/>
      <c r="U63" s="23"/>
      <c r="V63" s="23"/>
      <c r="W63" s="23" t="s">
        <v>423</v>
      </c>
      <c r="X63" s="23"/>
      <c r="Y63" s="23"/>
      <c r="Z63" s="23"/>
    </row>
    <row r="64" spans="1:26" s="2" customFormat="1" ht="30.95" customHeight="1" x14ac:dyDescent="0.2">
      <c r="A64" s="70"/>
      <c r="B64" s="16" t="s">
        <v>424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 t="s">
        <v>425</v>
      </c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s="2" customFormat="1" ht="30.95" customHeight="1" x14ac:dyDescent="0.2">
      <c r="A65" s="68"/>
      <c r="B65" s="16" t="s">
        <v>426</v>
      </c>
      <c r="C65" s="23"/>
      <c r="D65" s="23"/>
      <c r="E65" s="23"/>
      <c r="F65" s="23"/>
      <c r="G65" s="23"/>
      <c r="H65" s="23"/>
      <c r="I65" s="23"/>
      <c r="J65" s="23"/>
      <c r="K65" s="23"/>
      <c r="L65" s="23" t="s">
        <v>381</v>
      </c>
      <c r="M65" s="23" t="s">
        <v>381</v>
      </c>
      <c r="N65" s="23" t="s">
        <v>427</v>
      </c>
      <c r="O65" s="23"/>
      <c r="P65" s="23"/>
      <c r="Q65" s="23"/>
      <c r="R65" s="23" t="s">
        <v>428</v>
      </c>
      <c r="S65" s="23"/>
      <c r="T65" s="23" t="s">
        <v>429</v>
      </c>
      <c r="U65" s="23"/>
      <c r="V65" s="23" t="s">
        <v>430</v>
      </c>
      <c r="W65" s="23"/>
      <c r="X65" s="23" t="s">
        <v>431</v>
      </c>
      <c r="Y65" s="23"/>
      <c r="Z65" s="23"/>
    </row>
    <row r="66" spans="1:26" s="2" customFormat="1" ht="30.95" customHeight="1" x14ac:dyDescent="0.2">
      <c r="A66" s="68"/>
      <c r="B66" s="16" t="s">
        <v>432</v>
      </c>
      <c r="C66" s="18"/>
      <c r="D66" s="19" t="s">
        <v>433</v>
      </c>
      <c r="E66" s="18"/>
      <c r="F66" s="18"/>
      <c r="G66" s="18"/>
      <c r="H66" s="18"/>
      <c r="I66" s="18"/>
      <c r="J66" s="18"/>
      <c r="K66" s="18"/>
      <c r="L66" s="18" t="s">
        <v>381</v>
      </c>
      <c r="M66" s="18" t="s">
        <v>381</v>
      </c>
      <c r="N66" s="19" t="s">
        <v>434</v>
      </c>
      <c r="O66" s="18"/>
      <c r="P66" s="18"/>
      <c r="Q66" s="18"/>
      <c r="R66" s="18"/>
      <c r="S66" s="18"/>
      <c r="T66" s="18"/>
      <c r="U66" s="18"/>
      <c r="V66" s="18" t="s">
        <v>435</v>
      </c>
      <c r="W66" s="18"/>
      <c r="X66" s="18" t="s">
        <v>436</v>
      </c>
      <c r="Y66" s="18"/>
      <c r="Z66" s="18"/>
    </row>
    <row r="67" spans="1:26" s="2" customFormat="1" ht="30.95" customHeight="1" x14ac:dyDescent="0.2">
      <c r="A67" s="68"/>
      <c r="B67" s="17" t="s">
        <v>437</v>
      </c>
      <c r="C67" s="23"/>
      <c r="D67" s="23"/>
      <c r="E67" s="24"/>
      <c r="F67" s="24"/>
      <c r="G67" s="24"/>
      <c r="H67" s="23"/>
      <c r="I67" s="23"/>
      <c r="J67" s="23"/>
      <c r="K67" s="23"/>
      <c r="L67" s="23"/>
      <c r="M67" s="23"/>
      <c r="N67" s="23"/>
      <c r="O67" s="23" t="s">
        <v>438</v>
      </c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30.95" customHeight="1" x14ac:dyDescent="0.2">
      <c r="A68" s="71"/>
      <c r="B68" s="25" t="s">
        <v>439</v>
      </c>
      <c r="C68" s="75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</row>
    <row r="69" spans="1:26" ht="30.95" customHeight="1" x14ac:dyDescent="0.2">
      <c r="A69" s="71"/>
      <c r="B69" s="25" t="s">
        <v>440</v>
      </c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</row>
    <row r="70" spans="1:26" ht="30.95" customHeight="1" x14ac:dyDescent="0.2">
      <c r="A70" s="67" t="s">
        <v>441</v>
      </c>
      <c r="B70" s="16" t="s">
        <v>442</v>
      </c>
      <c r="C70" s="19" t="s">
        <v>443</v>
      </c>
      <c r="D70" s="18"/>
      <c r="E70" s="18"/>
      <c r="F70" s="18" t="s">
        <v>444</v>
      </c>
      <c r="G70" s="18" t="s">
        <v>444</v>
      </c>
      <c r="H70" s="18"/>
      <c r="I70" s="18" t="s">
        <v>445</v>
      </c>
      <c r="J70" s="18" t="s">
        <v>446</v>
      </c>
      <c r="K70" s="19" t="s">
        <v>447</v>
      </c>
      <c r="L70" s="18"/>
      <c r="M70" s="18"/>
      <c r="N70" s="18"/>
      <c r="O70" s="18" t="s">
        <v>448</v>
      </c>
      <c r="P70" s="18" t="s">
        <v>448</v>
      </c>
      <c r="Q70" s="18"/>
      <c r="R70" s="18"/>
      <c r="S70" s="19" t="s">
        <v>449</v>
      </c>
      <c r="T70" s="18"/>
      <c r="U70" s="18" t="s">
        <v>450</v>
      </c>
      <c r="V70" s="18"/>
      <c r="W70" s="18" t="s">
        <v>403</v>
      </c>
      <c r="X70" s="18"/>
      <c r="Y70" s="19" t="s">
        <v>451</v>
      </c>
      <c r="Z70" s="18"/>
    </row>
    <row r="71" spans="1:26" ht="30.95" customHeight="1" x14ac:dyDescent="0.2">
      <c r="A71" s="68"/>
      <c r="B71" s="16" t="s">
        <v>452</v>
      </c>
      <c r="C71" s="23" t="s">
        <v>453</v>
      </c>
      <c r="D71" s="23"/>
      <c r="E71" s="23"/>
      <c r="F71" s="23" t="s">
        <v>444</v>
      </c>
      <c r="G71" s="23" t="s">
        <v>444</v>
      </c>
      <c r="H71" s="23"/>
      <c r="I71" s="23" t="s">
        <v>454</v>
      </c>
      <c r="J71" s="23" t="s">
        <v>446</v>
      </c>
      <c r="K71" s="23" t="s">
        <v>455</v>
      </c>
      <c r="L71" s="23"/>
      <c r="M71" s="23"/>
      <c r="N71" s="23"/>
      <c r="O71" s="23" t="s">
        <v>448</v>
      </c>
      <c r="P71" s="23" t="s">
        <v>448</v>
      </c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30.95" customHeight="1" x14ac:dyDescent="0.2">
      <c r="A72" s="68"/>
      <c r="B72" s="16" t="s">
        <v>456</v>
      </c>
      <c r="C72" s="18"/>
      <c r="D72" s="18" t="s">
        <v>444</v>
      </c>
      <c r="E72" s="18"/>
      <c r="F72" s="18"/>
      <c r="G72" s="18"/>
      <c r="H72" s="18"/>
      <c r="I72" s="18"/>
      <c r="J72" s="18"/>
      <c r="K72" s="18"/>
      <c r="L72" s="18" t="s">
        <v>446</v>
      </c>
      <c r="M72" s="18" t="s">
        <v>457</v>
      </c>
      <c r="N72" s="18"/>
      <c r="O72" s="18"/>
      <c r="P72" s="18"/>
      <c r="Q72" s="18"/>
      <c r="R72" s="18"/>
      <c r="S72" s="18"/>
      <c r="T72" s="19" t="s">
        <v>458</v>
      </c>
      <c r="U72" s="18"/>
      <c r="V72" s="20" t="s">
        <v>459</v>
      </c>
      <c r="W72" s="18"/>
      <c r="X72" s="18" t="s">
        <v>460</v>
      </c>
      <c r="Y72" s="18"/>
      <c r="Z72" s="18"/>
    </row>
    <row r="73" spans="1:26" ht="30.95" customHeight="1" x14ac:dyDescent="0.2">
      <c r="A73" s="68"/>
      <c r="B73" s="16" t="s">
        <v>461</v>
      </c>
      <c r="C73" s="23"/>
      <c r="D73" s="23" t="s">
        <v>444</v>
      </c>
      <c r="E73" s="23"/>
      <c r="F73" s="23"/>
      <c r="G73" s="23"/>
      <c r="H73" s="23"/>
      <c r="I73" s="23"/>
      <c r="J73" s="23"/>
      <c r="K73" s="23"/>
      <c r="L73" s="23" t="s">
        <v>446</v>
      </c>
      <c r="M73" s="23" t="s">
        <v>457</v>
      </c>
      <c r="N73" s="23"/>
      <c r="O73" s="23"/>
      <c r="P73" s="23"/>
      <c r="Q73" s="23"/>
      <c r="R73" s="23" t="s">
        <v>462</v>
      </c>
      <c r="S73" s="23"/>
      <c r="T73" s="23"/>
      <c r="U73" s="23"/>
      <c r="V73" s="23" t="s">
        <v>463</v>
      </c>
      <c r="W73" s="23"/>
      <c r="X73" s="23"/>
      <c r="Y73" s="23"/>
      <c r="Z73" s="23"/>
    </row>
    <row r="74" spans="1:26" ht="30.95" customHeight="1" x14ac:dyDescent="0.2">
      <c r="A74" s="68"/>
      <c r="B74" s="16" t="s">
        <v>464</v>
      </c>
      <c r="C74" s="18" t="s">
        <v>465</v>
      </c>
      <c r="D74" s="18"/>
      <c r="E74" s="18" t="s">
        <v>466</v>
      </c>
      <c r="F74" s="18" t="s">
        <v>467</v>
      </c>
      <c r="G74" s="18" t="s">
        <v>467</v>
      </c>
      <c r="H74" s="18"/>
      <c r="I74" s="18"/>
      <c r="J74" s="18" t="s">
        <v>468</v>
      </c>
      <c r="K74" s="18"/>
      <c r="L74" s="18"/>
      <c r="M74" s="18"/>
      <c r="N74" s="18"/>
      <c r="O74" s="18" t="s">
        <v>469</v>
      </c>
      <c r="P74" s="18" t="s">
        <v>469</v>
      </c>
      <c r="Q74" s="18"/>
      <c r="R74" s="18"/>
      <c r="S74" s="18"/>
      <c r="T74" s="18"/>
      <c r="U74" s="18" t="s">
        <v>470</v>
      </c>
      <c r="V74" s="18"/>
      <c r="W74" s="18" t="s">
        <v>471</v>
      </c>
      <c r="X74" s="18"/>
      <c r="Y74" s="18" t="s">
        <v>470</v>
      </c>
      <c r="Z74" s="18"/>
    </row>
    <row r="75" spans="1:26" ht="30.95" customHeight="1" x14ac:dyDescent="0.2">
      <c r="A75" s="68"/>
      <c r="B75" s="16" t="s">
        <v>472</v>
      </c>
      <c r="C75" s="23" t="s">
        <v>473</v>
      </c>
      <c r="D75" s="23"/>
      <c r="E75" s="23" t="s">
        <v>466</v>
      </c>
      <c r="F75" s="23" t="s">
        <v>467</v>
      </c>
      <c r="G75" s="23" t="s">
        <v>467</v>
      </c>
      <c r="H75" s="23"/>
      <c r="I75" s="23"/>
      <c r="J75" s="23" t="s">
        <v>468</v>
      </c>
      <c r="K75" s="23"/>
      <c r="L75" s="23"/>
      <c r="M75" s="23"/>
      <c r="N75" s="23"/>
      <c r="O75" s="23" t="s">
        <v>469</v>
      </c>
      <c r="P75" s="23" t="s">
        <v>469</v>
      </c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30.95" customHeight="1" x14ac:dyDescent="0.2">
      <c r="A76" s="68"/>
      <c r="B76" s="16" t="s">
        <v>474</v>
      </c>
      <c r="C76" s="18" t="s">
        <v>444</v>
      </c>
      <c r="D76" s="18" t="s">
        <v>467</v>
      </c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 t="s">
        <v>475</v>
      </c>
      <c r="S76" s="18"/>
      <c r="T76" s="18"/>
      <c r="U76" s="18"/>
      <c r="V76" s="18" t="s">
        <v>476</v>
      </c>
      <c r="W76" s="18"/>
      <c r="X76" s="18"/>
      <c r="Y76" s="18"/>
      <c r="Z76" s="18"/>
    </row>
    <row r="77" spans="1:26" ht="30.95" customHeight="1" x14ac:dyDescent="0.2">
      <c r="A77" s="69"/>
      <c r="B77" s="16" t="s">
        <v>477</v>
      </c>
      <c r="C77" s="23" t="s">
        <v>444</v>
      </c>
      <c r="D77" s="23" t="s">
        <v>467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 t="s">
        <v>478</v>
      </c>
      <c r="W77" s="23"/>
      <c r="X77" s="23"/>
      <c r="Y77" s="23"/>
      <c r="Z77" s="23"/>
    </row>
    <row r="78" spans="1:26" ht="30.95" customHeight="1" x14ac:dyDescent="0.2">
      <c r="A78" s="67" t="s">
        <v>479</v>
      </c>
      <c r="B78" s="16" t="s">
        <v>480</v>
      </c>
      <c r="C78" s="18" t="s">
        <v>467</v>
      </c>
      <c r="D78" s="18"/>
      <c r="E78" s="18" t="s">
        <v>481</v>
      </c>
      <c r="F78" s="18"/>
      <c r="G78" s="18"/>
      <c r="H78" s="18"/>
      <c r="I78" s="18"/>
      <c r="J78" s="18" t="s">
        <v>482</v>
      </c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30.95" customHeight="1" x14ac:dyDescent="0.2">
      <c r="A79" s="68"/>
      <c r="B79" s="16" t="s">
        <v>483</v>
      </c>
      <c r="C79" s="23" t="s">
        <v>467</v>
      </c>
      <c r="D79" s="23"/>
      <c r="E79" s="23" t="s">
        <v>481</v>
      </c>
      <c r="F79" s="23"/>
      <c r="G79" s="23"/>
      <c r="H79" s="23"/>
      <c r="I79" s="23"/>
      <c r="J79" s="23" t="s">
        <v>482</v>
      </c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30.95" customHeight="1" x14ac:dyDescent="0.2">
      <c r="A80" s="68"/>
      <c r="B80" s="16" t="s">
        <v>484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30.95" customHeight="1" x14ac:dyDescent="0.2">
      <c r="A81" s="68"/>
      <c r="B81" s="16" t="s">
        <v>485</v>
      </c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30.95" customHeight="1" x14ac:dyDescent="0.2">
      <c r="A82" s="68"/>
      <c r="B82" s="16" t="s">
        <v>486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30.95" customHeight="1" x14ac:dyDescent="0.2">
      <c r="A83" s="68"/>
      <c r="B83" s="16" t="s">
        <v>487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30.95" customHeight="1" x14ac:dyDescent="0.2">
      <c r="A84" s="68"/>
      <c r="B84" s="16" t="s">
        <v>488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30.95" customHeight="1" x14ac:dyDescent="0.2">
      <c r="A85" s="68"/>
      <c r="B85" s="16" t="s">
        <v>489</v>
      </c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30.95" customHeight="1" x14ac:dyDescent="0.2">
      <c r="A86" s="68"/>
      <c r="B86" s="16" t="s">
        <v>490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30.95" customHeight="1" x14ac:dyDescent="0.2">
      <c r="A87" s="68"/>
      <c r="B87" s="16" t="s">
        <v>491</v>
      </c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30.95" customHeight="1" x14ac:dyDescent="0.2">
      <c r="A88" s="67" t="s">
        <v>492</v>
      </c>
      <c r="B88" s="16" t="s">
        <v>493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30.95" customHeight="1" x14ac:dyDescent="0.2">
      <c r="A89" s="68"/>
      <c r="B89" s="16" t="s">
        <v>494</v>
      </c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30.95" customHeight="1" x14ac:dyDescent="0.2">
      <c r="A90" s="68"/>
      <c r="B90" s="16" t="s">
        <v>495</v>
      </c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30.95" customHeight="1" x14ac:dyDescent="0.2">
      <c r="A91" s="69"/>
      <c r="B91" s="16" t="s">
        <v>496</v>
      </c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5" customHeight="1" x14ac:dyDescent="0.2">
      <c r="A92" s="26"/>
      <c r="B92" s="27" t="s">
        <v>497</v>
      </c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9"/>
    </row>
    <row r="93" spans="1:26" x14ac:dyDescent="0.2">
      <c r="C93" s="5"/>
      <c r="D93" s="4"/>
      <c r="E93" s="5"/>
      <c r="F93" s="4"/>
      <c r="G93" s="4"/>
      <c r="H93" s="4"/>
      <c r="I93" s="4"/>
      <c r="J93" s="4"/>
      <c r="K93" s="4"/>
    </row>
    <row r="94" spans="1:26" ht="24.95" customHeight="1" x14ac:dyDescent="0.2">
      <c r="A94" s="80" t="s">
        <v>501</v>
      </c>
      <c r="B94" s="81"/>
      <c r="C94" s="84" t="s">
        <v>502</v>
      </c>
      <c r="D94" s="85"/>
      <c r="E94" s="85"/>
      <c r="F94" s="85"/>
      <c r="G94" s="86"/>
      <c r="H94" s="90" t="s">
        <v>503</v>
      </c>
      <c r="I94" s="91"/>
      <c r="J94" s="91"/>
      <c r="K94" s="92"/>
      <c r="L94" s="96" t="s">
        <v>504</v>
      </c>
      <c r="M94" s="97"/>
      <c r="N94" s="97"/>
      <c r="O94" s="97"/>
      <c r="P94" s="97"/>
      <c r="Q94" s="97"/>
      <c r="R94" s="98"/>
      <c r="S94" s="102" t="s">
        <v>505</v>
      </c>
      <c r="T94" s="103"/>
      <c r="U94" s="103"/>
      <c r="V94" s="103"/>
      <c r="W94" s="103"/>
      <c r="X94" s="103"/>
      <c r="Y94" s="103"/>
      <c r="Z94" s="104"/>
    </row>
    <row r="95" spans="1:26" ht="24.95" customHeight="1" x14ac:dyDescent="0.2">
      <c r="A95" s="82"/>
      <c r="B95" s="83"/>
      <c r="C95" s="87"/>
      <c r="D95" s="88"/>
      <c r="E95" s="88"/>
      <c r="F95" s="88"/>
      <c r="G95" s="89"/>
      <c r="H95" s="93"/>
      <c r="I95" s="94"/>
      <c r="J95" s="94"/>
      <c r="K95" s="95"/>
      <c r="L95" s="99"/>
      <c r="M95" s="100"/>
      <c r="N95" s="100"/>
      <c r="O95" s="100"/>
      <c r="P95" s="100"/>
      <c r="Q95" s="100"/>
      <c r="R95" s="101"/>
      <c r="S95" s="105"/>
      <c r="T95" s="106"/>
      <c r="U95" s="106"/>
      <c r="V95" s="106"/>
      <c r="W95" s="106"/>
      <c r="X95" s="106"/>
      <c r="Y95" s="106"/>
      <c r="Z95" s="107"/>
    </row>
    <row r="96" spans="1:26" ht="27.95" customHeight="1" x14ac:dyDescent="0.2">
      <c r="A96" s="108" t="s">
        <v>506</v>
      </c>
      <c r="B96" s="108"/>
      <c r="C96" s="109"/>
      <c r="D96" s="109"/>
      <c r="E96" s="109"/>
      <c r="F96" s="109"/>
      <c r="G96" s="109"/>
      <c r="H96" s="109"/>
      <c r="I96" s="109"/>
      <c r="J96" s="109"/>
      <c r="K96" s="109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</row>
    <row r="97" spans="3:26" x14ac:dyDescent="0.2">
      <c r="C97" s="4"/>
      <c r="D97" s="4"/>
      <c r="E97" s="4"/>
      <c r="F97" s="4"/>
      <c r="G97" s="4"/>
      <c r="H97" s="4"/>
      <c r="I97" s="4"/>
      <c r="J97" s="4"/>
      <c r="K97" s="4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">
      <c r="C98" s="5"/>
      <c r="D98" s="4"/>
      <c r="E98" s="6"/>
      <c r="F98" s="4"/>
      <c r="G98" s="4"/>
      <c r="H98" s="4"/>
      <c r="I98" s="4"/>
      <c r="J98" s="4"/>
      <c r="K98" s="4"/>
    </row>
    <row r="99" spans="3:26" x14ac:dyDescent="0.2">
      <c r="C99" s="5"/>
      <c r="D99" s="4"/>
      <c r="E99" s="6"/>
      <c r="F99" s="4"/>
      <c r="G99" s="4"/>
      <c r="H99" s="4"/>
      <c r="I99" s="4"/>
      <c r="J99" s="4"/>
      <c r="K99" s="4"/>
    </row>
    <row r="100" spans="3:26" x14ac:dyDescent="0.2">
      <c r="C100" s="5"/>
      <c r="D100" s="4"/>
      <c r="E100" s="5"/>
      <c r="F100" s="4"/>
      <c r="G100" s="4"/>
      <c r="H100" s="4"/>
      <c r="I100" s="4"/>
      <c r="J100" s="4"/>
      <c r="K100" s="4"/>
    </row>
    <row r="101" spans="3:26" x14ac:dyDescent="0.2">
      <c r="C101" s="5"/>
      <c r="D101" s="4"/>
      <c r="E101" s="5"/>
      <c r="F101" s="4"/>
      <c r="G101" s="4"/>
      <c r="H101" s="4"/>
      <c r="I101" s="4"/>
      <c r="J101" s="4"/>
      <c r="K101" s="4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">
      <c r="C102" s="5"/>
      <c r="D102" s="4"/>
      <c r="E102" s="5"/>
      <c r="F102" s="4"/>
      <c r="G102" s="4"/>
      <c r="H102" s="4"/>
      <c r="I102" s="4"/>
      <c r="J102" s="4"/>
      <c r="K102" s="4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">
      <c r="C103" s="5"/>
      <c r="D103" s="4"/>
      <c r="E103" s="5"/>
      <c r="F103" s="4"/>
      <c r="G103" s="4"/>
      <c r="H103" s="4"/>
      <c r="I103" s="4"/>
      <c r="J103" s="4"/>
      <c r="K103" s="4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">
      <c r="C104" s="5"/>
      <c r="D104" s="4"/>
      <c r="E104" s="5"/>
      <c r="F104" s="4"/>
      <c r="G104" s="4"/>
      <c r="H104" s="4"/>
      <c r="I104" s="4"/>
      <c r="J104" s="4"/>
      <c r="K104" s="4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">
      <c r="C105" s="5"/>
      <c r="D105" s="4"/>
      <c r="E105" s="5"/>
      <c r="F105" s="4"/>
      <c r="G105" s="4"/>
      <c r="H105" s="4"/>
      <c r="I105" s="4"/>
      <c r="J105" s="4"/>
      <c r="K105" s="4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">
      <c r="C106" s="5"/>
      <c r="D106" s="4"/>
      <c r="E106" s="5"/>
      <c r="F106" s="4"/>
      <c r="G106" s="4"/>
      <c r="H106" s="4"/>
      <c r="I106" s="4"/>
      <c r="J106" s="4"/>
      <c r="K106" s="4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">
      <c r="C107" s="5"/>
      <c r="D107" s="4"/>
      <c r="E107" s="5"/>
      <c r="F107" s="4"/>
      <c r="G107" s="4"/>
      <c r="H107" s="4"/>
      <c r="I107" s="4"/>
      <c r="J107" s="4"/>
      <c r="K107" s="4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">
      <c r="C108" s="5"/>
      <c r="D108" s="4"/>
      <c r="E108" s="5"/>
      <c r="F108" s="4"/>
      <c r="G108" s="4"/>
      <c r="H108" s="4"/>
      <c r="I108" s="4"/>
      <c r="J108" s="4"/>
      <c r="K108" s="4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">
      <c r="C109" s="5"/>
      <c r="D109" s="4"/>
      <c r="E109" s="5"/>
      <c r="F109" s="4"/>
      <c r="G109" s="4"/>
      <c r="H109" s="4"/>
      <c r="I109" s="4"/>
      <c r="J109" s="4"/>
      <c r="K109" s="4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">
      <c r="C110" s="5"/>
      <c r="D110" s="4"/>
      <c r="E110" s="5"/>
      <c r="F110" s="4"/>
      <c r="G110" s="4"/>
      <c r="H110" s="4"/>
      <c r="I110" s="4"/>
      <c r="J110" s="4"/>
      <c r="K110" s="4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">
      <c r="C111" s="5"/>
      <c r="D111" s="4"/>
      <c r="E111" s="5"/>
      <c r="F111" s="4"/>
      <c r="G111" s="4"/>
      <c r="H111" s="4"/>
      <c r="I111" s="4"/>
      <c r="J111" s="4"/>
      <c r="K111" s="4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">
      <c r="C112" s="5"/>
      <c r="D112" s="4"/>
      <c r="E112" s="5"/>
      <c r="F112" s="4"/>
      <c r="G112" s="4"/>
      <c r="H112" s="4"/>
      <c r="I112" s="4"/>
      <c r="J112" s="4"/>
      <c r="K112" s="4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">
      <c r="C113" s="5"/>
      <c r="D113" s="4"/>
      <c r="E113" s="5"/>
      <c r="F113" s="4"/>
      <c r="G113" s="4"/>
      <c r="H113" s="4"/>
      <c r="I113" s="4"/>
      <c r="J113" s="4"/>
      <c r="K113" s="4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">
      <c r="C114" s="5"/>
      <c r="D114" s="4"/>
      <c r="E114" s="5"/>
      <c r="F114" s="4"/>
      <c r="G114" s="4"/>
      <c r="H114" s="4"/>
      <c r="I114" s="4"/>
      <c r="J114" s="4"/>
      <c r="K114" s="4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">
      <c r="C115" s="5"/>
      <c r="D115" s="4"/>
      <c r="E115" s="5"/>
      <c r="F115" s="4"/>
      <c r="G115" s="4"/>
      <c r="H115" s="4"/>
      <c r="I115" s="4"/>
      <c r="J115" s="4"/>
      <c r="K115" s="4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">
      <c r="C116" s="5"/>
      <c r="D116" s="4"/>
      <c r="E116" s="5"/>
      <c r="F116" s="4"/>
      <c r="G116" s="4"/>
      <c r="H116" s="4"/>
      <c r="I116" s="4"/>
      <c r="J116" s="4"/>
      <c r="K116" s="4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">
      <c r="C117" s="5"/>
      <c r="D117" s="4"/>
      <c r="E117" s="5"/>
      <c r="F117" s="4"/>
      <c r="G117" s="4"/>
      <c r="H117" s="4"/>
      <c r="I117" s="4"/>
      <c r="J117" s="4"/>
      <c r="K117" s="4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">
      <c r="C118" s="5"/>
      <c r="D118" s="4"/>
      <c r="E118" s="5"/>
      <c r="F118" s="4"/>
      <c r="G118" s="4"/>
      <c r="H118" s="4"/>
      <c r="I118" s="4"/>
      <c r="J118" s="4"/>
      <c r="K118" s="4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">
      <c r="C119" s="5"/>
      <c r="D119" s="4"/>
      <c r="E119" s="5"/>
      <c r="F119" s="4"/>
      <c r="G119" s="4"/>
      <c r="H119" s="4"/>
      <c r="I119" s="4"/>
      <c r="J119" s="4"/>
      <c r="K119" s="4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">
      <c r="C120" s="5"/>
      <c r="D120" s="4"/>
      <c r="E120" s="5"/>
      <c r="F120" s="4"/>
      <c r="G120" s="4"/>
      <c r="H120" s="4"/>
      <c r="I120" s="4"/>
      <c r="J120" s="4"/>
      <c r="K120" s="4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">
      <c r="C121" s="5"/>
      <c r="D121" s="4"/>
      <c r="E121" s="5"/>
      <c r="F121" s="4"/>
      <c r="G121" s="4"/>
      <c r="H121" s="4"/>
      <c r="I121" s="4"/>
      <c r="J121" s="4"/>
      <c r="K121" s="4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">
      <c r="C122" s="5"/>
      <c r="D122" s="4"/>
      <c r="E122" s="5"/>
      <c r="F122" s="4"/>
      <c r="G122" s="4"/>
      <c r="H122" s="4"/>
      <c r="I122" s="4"/>
      <c r="J122" s="4"/>
      <c r="K122" s="4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">
      <c r="C123" s="5"/>
      <c r="D123" s="4"/>
      <c r="E123" s="5"/>
      <c r="F123" s="4"/>
      <c r="G123" s="4"/>
      <c r="H123" s="4"/>
      <c r="I123" s="4"/>
      <c r="J123" s="4"/>
      <c r="K123" s="4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">
      <c r="C124" s="5"/>
      <c r="D124" s="4"/>
      <c r="E124" s="5"/>
      <c r="F124" s="4"/>
      <c r="G124" s="4"/>
      <c r="H124" s="4"/>
      <c r="I124" s="4"/>
      <c r="J124" s="4"/>
      <c r="K124" s="4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">
      <c r="C125" s="5"/>
      <c r="D125" s="4"/>
      <c r="E125" s="5"/>
      <c r="F125" s="4"/>
      <c r="G125" s="4"/>
      <c r="H125" s="4"/>
      <c r="I125" s="4"/>
      <c r="J125" s="4"/>
      <c r="K125" s="4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">
      <c r="C126" s="5"/>
      <c r="D126" s="4"/>
      <c r="E126" s="5"/>
      <c r="F126" s="4"/>
      <c r="G126" s="4"/>
      <c r="H126" s="4"/>
      <c r="I126" s="4"/>
      <c r="J126" s="4"/>
      <c r="K126" s="4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">
      <c r="C127" s="5"/>
      <c r="D127" s="4"/>
      <c r="E127" s="5"/>
      <c r="F127" s="4"/>
      <c r="G127" s="4"/>
      <c r="H127" s="4"/>
      <c r="I127" s="4"/>
      <c r="J127" s="4"/>
      <c r="K127" s="4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">
      <c r="C128" s="5"/>
      <c r="D128" s="4"/>
      <c r="E128" s="5"/>
      <c r="F128" s="4"/>
      <c r="G128" s="4"/>
      <c r="H128" s="4"/>
      <c r="I128" s="4"/>
      <c r="J128" s="4"/>
      <c r="K128" s="4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">
      <c r="C129" s="5"/>
      <c r="D129" s="4"/>
      <c r="E129" s="5"/>
      <c r="F129" s="4"/>
      <c r="G129" s="4"/>
      <c r="H129" s="4"/>
      <c r="I129" s="4"/>
      <c r="J129" s="4"/>
      <c r="K129" s="4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">
      <c r="C130" s="5"/>
      <c r="D130" s="4"/>
      <c r="E130" s="5"/>
      <c r="F130" s="4"/>
      <c r="G130" s="4"/>
      <c r="H130" s="4"/>
      <c r="I130" s="4"/>
      <c r="J130" s="4"/>
      <c r="K130" s="4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">
      <c r="C131" s="5"/>
      <c r="D131" s="4"/>
      <c r="E131" s="5"/>
      <c r="F131" s="4"/>
      <c r="G131" s="4"/>
      <c r="H131" s="4"/>
      <c r="I131" s="4"/>
      <c r="J131" s="4"/>
      <c r="K131" s="4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">
      <c r="C132" s="5"/>
      <c r="D132" s="4"/>
      <c r="E132" s="5"/>
      <c r="F132" s="4"/>
      <c r="G132" s="4"/>
      <c r="H132" s="4"/>
      <c r="I132" s="4"/>
      <c r="J132" s="4"/>
      <c r="K132" s="4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">
      <c r="C133" s="5"/>
      <c r="D133" s="4"/>
      <c r="E133" s="5"/>
      <c r="F133" s="4"/>
      <c r="G133" s="4"/>
      <c r="H133" s="4"/>
      <c r="I133" s="4"/>
      <c r="J133" s="4"/>
      <c r="K133" s="4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">
      <c r="C134" s="5"/>
      <c r="D134" s="4"/>
      <c r="E134" s="5"/>
      <c r="F134" s="4"/>
      <c r="G134" s="4"/>
      <c r="H134" s="4"/>
      <c r="I134" s="4"/>
      <c r="J134" s="4"/>
      <c r="K134" s="4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">
      <c r="C135" s="5"/>
      <c r="D135" s="4"/>
      <c r="E135" s="5"/>
      <c r="F135" s="4"/>
      <c r="G135" s="4"/>
      <c r="H135" s="4"/>
      <c r="I135" s="4"/>
      <c r="J135" s="4"/>
      <c r="K135" s="4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">
      <c r="C136" s="5"/>
      <c r="D136" s="4"/>
      <c r="E136" s="5"/>
      <c r="F136" s="4"/>
      <c r="G136" s="4"/>
      <c r="H136" s="4"/>
      <c r="I136" s="4"/>
      <c r="J136" s="4"/>
      <c r="K136" s="4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</sheetData>
  <mergeCells count="21">
    <mergeCell ref="A96:Z96"/>
    <mergeCell ref="A94:B95"/>
    <mergeCell ref="C94:G95"/>
    <mergeCell ref="H94:K95"/>
    <mergeCell ref="L94:R95"/>
    <mergeCell ref="S94:Z95"/>
    <mergeCell ref="A88:A91"/>
    <mergeCell ref="A60:A69"/>
    <mergeCell ref="A1:Z1"/>
    <mergeCell ref="A40:A51"/>
    <mergeCell ref="A52:A59"/>
    <mergeCell ref="B3:B4"/>
    <mergeCell ref="C68:Z69"/>
    <mergeCell ref="A5:A13"/>
    <mergeCell ref="A14:A23"/>
    <mergeCell ref="A34:A39"/>
    <mergeCell ref="A24:A33"/>
    <mergeCell ref="A70:A77"/>
    <mergeCell ref="A78:A87"/>
    <mergeCell ref="A2:Z2"/>
    <mergeCell ref="A3:A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30"/>
  <sheetViews>
    <sheetView showGridLines="0" workbookViewId="0"/>
  </sheetViews>
  <sheetFormatPr defaultRowHeight="12.75" x14ac:dyDescent="0.2"/>
  <cols>
    <col min="1" max="1" width="12.42578125" customWidth="1"/>
    <col min="2" max="2" width="6.28515625" customWidth="1"/>
    <col min="3" max="3" width="18.140625" customWidth="1"/>
    <col min="4" max="4" width="14.42578125" customWidth="1"/>
    <col min="5" max="5" width="28.7109375" customWidth="1"/>
    <col min="6" max="6" width="11.85546875" customWidth="1"/>
    <col min="7" max="7" width="8.7109375" customWidth="1"/>
    <col min="8" max="8" width="18.7109375" customWidth="1"/>
    <col min="9" max="9" width="27.42578125" customWidth="1"/>
    <col min="10" max="10" width="13.140625" customWidth="1"/>
  </cols>
  <sheetData>
    <row r="1" spans="1:13" ht="33.950000000000003" customHeight="1" x14ac:dyDescent="0.2">
      <c r="A1" s="110" t="s">
        <v>507</v>
      </c>
      <c r="B1" s="110"/>
      <c r="C1" s="110"/>
      <c r="D1" s="110"/>
      <c r="E1" s="110"/>
      <c r="F1" s="110"/>
      <c r="G1" s="110"/>
      <c r="H1" s="110"/>
      <c r="I1" s="110"/>
      <c r="J1" s="110"/>
      <c r="M1" s="35" t="s">
        <v>508</v>
      </c>
    </row>
    <row r="2" spans="1:13" ht="13.5" x14ac:dyDescent="0.2">
      <c r="A2" s="111" t="s">
        <v>509</v>
      </c>
      <c r="B2" s="111"/>
      <c r="C2" s="111"/>
      <c r="D2" s="111"/>
      <c r="E2" s="111"/>
      <c r="F2" s="111"/>
      <c r="G2" s="111"/>
      <c r="H2" s="111"/>
      <c r="I2" s="111"/>
      <c r="J2" s="111"/>
      <c r="M2" s="35" t="s">
        <v>1</v>
      </c>
    </row>
    <row r="3" spans="1:13" x14ac:dyDescent="0.2">
      <c r="M3" s="35" t="s">
        <v>2</v>
      </c>
    </row>
    <row r="4" spans="1:13" ht="13.5" x14ac:dyDescent="0.2">
      <c r="A4" s="32" t="s">
        <v>510</v>
      </c>
      <c r="B4" s="32" t="s">
        <v>511</v>
      </c>
      <c r="C4" s="32" t="s">
        <v>512</v>
      </c>
      <c r="D4" s="32" t="s">
        <v>513</v>
      </c>
      <c r="E4" s="32" t="s">
        <v>514</v>
      </c>
      <c r="F4" s="32" t="s">
        <v>515</v>
      </c>
      <c r="G4" s="32" t="s">
        <v>516</v>
      </c>
      <c r="H4" s="32" t="s">
        <v>517</v>
      </c>
      <c r="I4" s="32" t="s">
        <v>518</v>
      </c>
      <c r="J4" s="32" t="s">
        <v>519</v>
      </c>
      <c r="M4" s="35" t="s">
        <v>3</v>
      </c>
    </row>
    <row r="5" spans="1:13" ht="26.1" customHeight="1" x14ac:dyDescent="0.2">
      <c r="A5" s="57">
        <v>46275</v>
      </c>
      <c r="B5" s="33" t="s">
        <v>520</v>
      </c>
      <c r="C5" s="30" t="s">
        <v>20</v>
      </c>
      <c r="D5" s="30" t="s">
        <v>34</v>
      </c>
      <c r="E5" s="30" t="s">
        <v>521</v>
      </c>
      <c r="F5" s="59" t="s">
        <v>522</v>
      </c>
      <c r="G5" s="33"/>
      <c r="H5" s="33"/>
      <c r="I5" s="30"/>
      <c r="J5" s="30" t="str">
        <f t="shared" ref="J5:J68" ca="1" si="0">IF(A5&lt;TODAY(),"Odehráno",IF(A5=TODAY(),"Dnes","Nadcházející"))</f>
        <v>Nadcházející</v>
      </c>
      <c r="M5" s="35" t="s">
        <v>4</v>
      </c>
    </row>
    <row r="6" spans="1:13" ht="26.1" customHeight="1" x14ac:dyDescent="0.2">
      <c r="A6" s="57">
        <v>46277</v>
      </c>
      <c r="B6" s="33" t="s">
        <v>523</v>
      </c>
      <c r="C6" s="30" t="s">
        <v>18</v>
      </c>
      <c r="D6" s="30" t="s">
        <v>34</v>
      </c>
      <c r="E6" s="30" t="s">
        <v>524</v>
      </c>
      <c r="F6" s="59" t="s">
        <v>525</v>
      </c>
      <c r="G6" s="33"/>
      <c r="H6" s="33"/>
      <c r="I6" s="30"/>
      <c r="J6" s="30" t="str">
        <f t="shared" ca="1" si="0"/>
        <v>Nadcházející</v>
      </c>
      <c r="M6" s="35" t="s">
        <v>5</v>
      </c>
    </row>
    <row r="7" spans="1:13" ht="26.1" customHeight="1" x14ac:dyDescent="0.2">
      <c r="A7" s="57">
        <v>46277</v>
      </c>
      <c r="B7" s="33" t="s">
        <v>523</v>
      </c>
      <c r="C7" s="30" t="s">
        <v>16</v>
      </c>
      <c r="D7" s="30" t="s">
        <v>34</v>
      </c>
      <c r="E7" s="30" t="s">
        <v>41</v>
      </c>
      <c r="F7" s="59"/>
      <c r="G7" s="33"/>
      <c r="H7" s="33"/>
      <c r="I7" s="30"/>
      <c r="J7" s="30" t="str">
        <f t="shared" ca="1" si="0"/>
        <v>Nadcházející</v>
      </c>
      <c r="M7" s="35" t="s">
        <v>6</v>
      </c>
    </row>
    <row r="8" spans="1:13" ht="26.1" customHeight="1" x14ac:dyDescent="0.2">
      <c r="A8" s="57">
        <v>46278</v>
      </c>
      <c r="B8" s="33" t="s">
        <v>526</v>
      </c>
      <c r="C8" s="30" t="s">
        <v>20</v>
      </c>
      <c r="D8" s="30" t="s">
        <v>34</v>
      </c>
      <c r="E8" s="30" t="s">
        <v>527</v>
      </c>
      <c r="F8" s="59" t="s">
        <v>528</v>
      </c>
      <c r="G8" s="33"/>
      <c r="H8" s="33"/>
      <c r="I8" s="30"/>
      <c r="J8" s="30" t="str">
        <f t="shared" ca="1" si="0"/>
        <v>Nadcházející</v>
      </c>
      <c r="M8" s="35" t="s">
        <v>7</v>
      </c>
    </row>
    <row r="9" spans="1:13" ht="26.1" customHeight="1" x14ac:dyDescent="0.2">
      <c r="A9" s="57">
        <v>46278</v>
      </c>
      <c r="B9" s="33" t="s">
        <v>526</v>
      </c>
      <c r="C9" s="30" t="s">
        <v>13</v>
      </c>
      <c r="D9" s="30" t="s">
        <v>32</v>
      </c>
      <c r="E9" s="30" t="s">
        <v>529</v>
      </c>
      <c r="F9" s="59" t="s">
        <v>530</v>
      </c>
      <c r="G9" s="33"/>
      <c r="H9" s="33"/>
      <c r="I9" s="30"/>
      <c r="J9" s="30" t="str">
        <f t="shared" ca="1" si="0"/>
        <v>Nadcházející</v>
      </c>
      <c r="M9" s="35" t="s">
        <v>8</v>
      </c>
    </row>
    <row r="10" spans="1:13" ht="26.1" customHeight="1" x14ac:dyDescent="0.2">
      <c r="A10" s="57">
        <v>46284</v>
      </c>
      <c r="B10" s="33" t="s">
        <v>523</v>
      </c>
      <c r="C10" s="30" t="s">
        <v>7</v>
      </c>
      <c r="D10" s="30" t="s">
        <v>30</v>
      </c>
      <c r="E10" s="30" t="s">
        <v>531</v>
      </c>
      <c r="F10" s="59" t="s">
        <v>532</v>
      </c>
      <c r="G10" s="33"/>
      <c r="H10" s="33"/>
      <c r="I10" s="30"/>
      <c r="J10" s="30" t="str">
        <f t="shared" ca="1" si="0"/>
        <v>Nadcházející</v>
      </c>
      <c r="M10" s="35" t="s">
        <v>9</v>
      </c>
    </row>
    <row r="11" spans="1:13" ht="26.1" customHeight="1" x14ac:dyDescent="0.2">
      <c r="A11" s="57">
        <v>46284</v>
      </c>
      <c r="B11" s="33" t="s">
        <v>523</v>
      </c>
      <c r="C11" s="30" t="s">
        <v>8</v>
      </c>
      <c r="D11" s="30" t="s">
        <v>31</v>
      </c>
      <c r="E11" s="30" t="s">
        <v>533</v>
      </c>
      <c r="F11" s="59" t="s">
        <v>534</v>
      </c>
      <c r="G11" s="33"/>
      <c r="H11" s="33"/>
      <c r="I11" s="30"/>
      <c r="J11" s="30" t="str">
        <f t="shared" ca="1" si="0"/>
        <v>Nadcházející</v>
      </c>
      <c r="M11" s="35" t="s">
        <v>10</v>
      </c>
    </row>
    <row r="12" spans="1:13" ht="26.1" customHeight="1" x14ac:dyDescent="0.2">
      <c r="A12" s="57">
        <v>46284</v>
      </c>
      <c r="B12" s="33" t="s">
        <v>523</v>
      </c>
      <c r="C12" s="30" t="s">
        <v>9</v>
      </c>
      <c r="D12" s="30" t="s">
        <v>30</v>
      </c>
      <c r="E12" s="30" t="s">
        <v>535</v>
      </c>
      <c r="F12" s="59" t="s">
        <v>536</v>
      </c>
      <c r="G12" s="33"/>
      <c r="H12" s="33"/>
      <c r="I12" s="30"/>
      <c r="J12" s="30" t="str">
        <f t="shared" ca="1" si="0"/>
        <v>Nadcházející</v>
      </c>
      <c r="M12" s="35" t="s">
        <v>11</v>
      </c>
    </row>
    <row r="13" spans="1:13" ht="26.1" customHeight="1" x14ac:dyDescent="0.2">
      <c r="A13" s="57">
        <v>46284</v>
      </c>
      <c r="B13" s="33" t="s">
        <v>523</v>
      </c>
      <c r="C13" s="30" t="s">
        <v>17</v>
      </c>
      <c r="D13" s="30" t="s">
        <v>34</v>
      </c>
      <c r="E13" s="30" t="s">
        <v>537</v>
      </c>
      <c r="F13" s="59" t="s">
        <v>538</v>
      </c>
      <c r="G13" s="33"/>
      <c r="H13" s="33"/>
      <c r="I13" s="30"/>
      <c r="J13" s="30" t="str">
        <f t="shared" ca="1" si="0"/>
        <v>Nadcházející</v>
      </c>
      <c r="M13" s="35" t="s">
        <v>12</v>
      </c>
    </row>
    <row r="14" spans="1:13" ht="26.1" customHeight="1" x14ac:dyDescent="0.2">
      <c r="A14" s="57">
        <v>46284</v>
      </c>
      <c r="B14" s="33" t="s">
        <v>523</v>
      </c>
      <c r="C14" s="30" t="s">
        <v>1</v>
      </c>
      <c r="D14" s="30" t="s">
        <v>25</v>
      </c>
      <c r="E14" s="30" t="s">
        <v>539</v>
      </c>
      <c r="F14" s="59" t="s">
        <v>540</v>
      </c>
      <c r="G14" s="33"/>
      <c r="H14" s="33"/>
      <c r="I14" s="30"/>
      <c r="J14" s="30" t="str">
        <f t="shared" ca="1" si="0"/>
        <v>Nadcházející</v>
      </c>
      <c r="M14" s="35" t="s">
        <v>13</v>
      </c>
    </row>
    <row r="15" spans="1:13" ht="26.1" customHeight="1" x14ac:dyDescent="0.2">
      <c r="A15" s="57">
        <v>46284</v>
      </c>
      <c r="B15" s="33" t="s">
        <v>523</v>
      </c>
      <c r="C15" s="30" t="s">
        <v>13</v>
      </c>
      <c r="D15" s="30" t="s">
        <v>32</v>
      </c>
      <c r="E15" s="30" t="s">
        <v>541</v>
      </c>
      <c r="F15" s="59" t="s">
        <v>542</v>
      </c>
      <c r="G15" s="33"/>
      <c r="H15" s="33"/>
      <c r="I15" s="30"/>
      <c r="J15" s="30" t="str">
        <f t="shared" ca="1" si="0"/>
        <v>Nadcházející</v>
      </c>
      <c r="M15" s="35" t="s">
        <v>14</v>
      </c>
    </row>
    <row r="16" spans="1:13" ht="26.1" customHeight="1" x14ac:dyDescent="0.2">
      <c r="A16" s="57">
        <v>46284</v>
      </c>
      <c r="B16" s="33" t="s">
        <v>523</v>
      </c>
      <c r="C16" s="30" t="s">
        <v>14</v>
      </c>
      <c r="D16" s="30" t="s">
        <v>32</v>
      </c>
      <c r="E16" s="30" t="s">
        <v>543</v>
      </c>
      <c r="F16" s="59" t="s">
        <v>544</v>
      </c>
      <c r="G16" s="33"/>
      <c r="H16" s="33"/>
      <c r="I16" s="30"/>
      <c r="J16" s="30" t="str">
        <f t="shared" ca="1" si="0"/>
        <v>Nadcházející</v>
      </c>
      <c r="M16" s="35" t="s">
        <v>15</v>
      </c>
    </row>
    <row r="17" spans="1:13" ht="26.1" customHeight="1" x14ac:dyDescent="0.2">
      <c r="A17" s="57">
        <v>46284</v>
      </c>
      <c r="B17" s="33" t="s">
        <v>523</v>
      </c>
      <c r="C17" s="30" t="s">
        <v>15</v>
      </c>
      <c r="D17" s="30" t="s">
        <v>30</v>
      </c>
      <c r="E17" s="30" t="s">
        <v>545</v>
      </c>
      <c r="F17" s="59" t="s">
        <v>546</v>
      </c>
      <c r="G17" s="33"/>
      <c r="H17" s="33"/>
      <c r="I17" s="30"/>
      <c r="J17" s="30" t="str">
        <f t="shared" ca="1" si="0"/>
        <v>Nadcházející</v>
      </c>
      <c r="M17" s="35" t="s">
        <v>16</v>
      </c>
    </row>
    <row r="18" spans="1:13" ht="26.1" customHeight="1" x14ac:dyDescent="0.2">
      <c r="A18" s="57">
        <v>46284</v>
      </c>
      <c r="B18" s="33" t="s">
        <v>523</v>
      </c>
      <c r="C18" s="30" t="s">
        <v>3</v>
      </c>
      <c r="D18" s="30" t="s">
        <v>27</v>
      </c>
      <c r="E18" s="30" t="s">
        <v>547</v>
      </c>
      <c r="F18" s="59" t="s">
        <v>522</v>
      </c>
      <c r="G18" s="33"/>
      <c r="H18" s="33"/>
      <c r="I18" s="30"/>
      <c r="J18" s="30" t="str">
        <f t="shared" ca="1" si="0"/>
        <v>Nadcházející</v>
      </c>
      <c r="M18" s="35" t="s">
        <v>17</v>
      </c>
    </row>
    <row r="19" spans="1:13" ht="26.1" customHeight="1" x14ac:dyDescent="0.2">
      <c r="A19" s="57">
        <v>46284</v>
      </c>
      <c r="B19" s="33" t="s">
        <v>523</v>
      </c>
      <c r="C19" s="30" t="s">
        <v>5</v>
      </c>
      <c r="D19" s="30" t="s">
        <v>28</v>
      </c>
      <c r="E19" s="30" t="s">
        <v>548</v>
      </c>
      <c r="F19" s="59" t="s">
        <v>540</v>
      </c>
      <c r="G19" s="33"/>
      <c r="H19" s="33"/>
      <c r="I19" s="30"/>
      <c r="J19" s="30" t="str">
        <f t="shared" ca="1" si="0"/>
        <v>Nadcházející</v>
      </c>
      <c r="M19" s="35" t="s">
        <v>18</v>
      </c>
    </row>
    <row r="20" spans="1:13" ht="26.1" customHeight="1" x14ac:dyDescent="0.2">
      <c r="A20" s="57">
        <v>46285</v>
      </c>
      <c r="B20" s="33" t="s">
        <v>526</v>
      </c>
      <c r="C20" s="30" t="s">
        <v>7</v>
      </c>
      <c r="D20" s="30" t="s">
        <v>30</v>
      </c>
      <c r="E20" s="30" t="s">
        <v>549</v>
      </c>
      <c r="F20" s="59" t="s">
        <v>550</v>
      </c>
      <c r="G20" s="33"/>
      <c r="H20" s="33"/>
      <c r="I20" s="30"/>
      <c r="J20" s="30" t="str">
        <f t="shared" ca="1" si="0"/>
        <v>Nadcházející</v>
      </c>
      <c r="M20" s="35" t="s">
        <v>19</v>
      </c>
    </row>
    <row r="21" spans="1:13" ht="26.1" customHeight="1" x14ac:dyDescent="0.2">
      <c r="A21" s="57">
        <v>46285</v>
      </c>
      <c r="B21" s="33" t="s">
        <v>526</v>
      </c>
      <c r="C21" s="30" t="s">
        <v>8</v>
      </c>
      <c r="D21" s="30" t="s">
        <v>31</v>
      </c>
      <c r="E21" s="30" t="s">
        <v>543</v>
      </c>
      <c r="F21" s="59" t="s">
        <v>551</v>
      </c>
      <c r="G21" s="33"/>
      <c r="H21" s="33"/>
      <c r="I21" s="30"/>
      <c r="J21" s="30" t="str">
        <f t="shared" ca="1" si="0"/>
        <v>Nadcházející</v>
      </c>
      <c r="M21" s="35" t="s">
        <v>20</v>
      </c>
    </row>
    <row r="22" spans="1:13" ht="26.1" customHeight="1" x14ac:dyDescent="0.2">
      <c r="A22" s="57">
        <v>46285</v>
      </c>
      <c r="B22" s="33" t="s">
        <v>526</v>
      </c>
      <c r="C22" s="30" t="s">
        <v>9</v>
      </c>
      <c r="D22" s="30" t="s">
        <v>30</v>
      </c>
      <c r="E22" s="30" t="s">
        <v>552</v>
      </c>
      <c r="F22" s="59" t="s">
        <v>553</v>
      </c>
      <c r="G22" s="33"/>
      <c r="H22" s="33"/>
      <c r="I22" s="30"/>
      <c r="J22" s="30" t="str">
        <f t="shared" ca="1" si="0"/>
        <v>Nadcházející</v>
      </c>
      <c r="M22" s="35" t="s">
        <v>21</v>
      </c>
    </row>
    <row r="23" spans="1:13" ht="26.1" customHeight="1" x14ac:dyDescent="0.2">
      <c r="A23" s="57">
        <v>46285</v>
      </c>
      <c r="B23" s="33" t="s">
        <v>526</v>
      </c>
      <c r="C23" s="30" t="s">
        <v>21</v>
      </c>
      <c r="D23" s="30" t="s">
        <v>34</v>
      </c>
      <c r="E23" s="30" t="s">
        <v>554</v>
      </c>
      <c r="F23" s="59" t="s">
        <v>555</v>
      </c>
      <c r="G23" s="33"/>
      <c r="H23" s="33"/>
      <c r="I23" s="30"/>
      <c r="J23" s="30" t="str">
        <f t="shared" ca="1" si="0"/>
        <v>Nadcházející</v>
      </c>
      <c r="M23" s="35" t="s">
        <v>22</v>
      </c>
    </row>
    <row r="24" spans="1:13" ht="26.1" customHeight="1" x14ac:dyDescent="0.2">
      <c r="A24" s="57">
        <v>46285</v>
      </c>
      <c r="B24" s="33" t="s">
        <v>526</v>
      </c>
      <c r="C24" s="30" t="s">
        <v>20</v>
      </c>
      <c r="D24" s="30" t="s">
        <v>34</v>
      </c>
      <c r="E24" s="30" t="s">
        <v>556</v>
      </c>
      <c r="F24" s="59" t="s">
        <v>557</v>
      </c>
      <c r="G24" s="33"/>
      <c r="H24" s="33"/>
      <c r="I24" s="30"/>
      <c r="J24" s="30" t="str">
        <f t="shared" ca="1" si="0"/>
        <v>Nadcházející</v>
      </c>
      <c r="M24" s="35" t="s">
        <v>23</v>
      </c>
    </row>
    <row r="25" spans="1:13" ht="26.1" customHeight="1" x14ac:dyDescent="0.2">
      <c r="A25" s="57">
        <v>46285</v>
      </c>
      <c r="B25" s="33" t="s">
        <v>526</v>
      </c>
      <c r="C25" s="30" t="s">
        <v>1</v>
      </c>
      <c r="D25" s="30" t="s">
        <v>25</v>
      </c>
      <c r="E25" s="30" t="s">
        <v>558</v>
      </c>
      <c r="F25" s="59" t="s">
        <v>559</v>
      </c>
      <c r="G25" s="33"/>
      <c r="H25" s="33"/>
      <c r="I25" s="30"/>
      <c r="J25" s="30" t="str">
        <f t="shared" ca="1" si="0"/>
        <v>Nadcházející</v>
      </c>
      <c r="M25" s="35" t="s">
        <v>24</v>
      </c>
    </row>
    <row r="26" spans="1:13" ht="26.1" customHeight="1" x14ac:dyDescent="0.2">
      <c r="A26" s="57">
        <v>46285</v>
      </c>
      <c r="B26" s="33" t="s">
        <v>526</v>
      </c>
      <c r="C26" s="30" t="s">
        <v>13</v>
      </c>
      <c r="D26" s="30" t="s">
        <v>32</v>
      </c>
      <c r="E26" s="30" t="s">
        <v>560</v>
      </c>
      <c r="F26" s="59" t="s">
        <v>561</v>
      </c>
      <c r="G26" s="33"/>
      <c r="H26" s="33"/>
      <c r="I26" s="30"/>
      <c r="J26" s="30" t="str">
        <f t="shared" ca="1" si="0"/>
        <v>Nadcházející</v>
      </c>
    </row>
    <row r="27" spans="1:13" ht="26.1" customHeight="1" x14ac:dyDescent="0.2">
      <c r="A27" s="57">
        <v>46285</v>
      </c>
      <c r="B27" s="33" t="s">
        <v>526</v>
      </c>
      <c r="C27" s="30" t="s">
        <v>14</v>
      </c>
      <c r="D27" s="30" t="s">
        <v>32</v>
      </c>
      <c r="E27" s="30" t="s">
        <v>180</v>
      </c>
      <c r="F27" s="59" t="s">
        <v>562</v>
      </c>
      <c r="G27" s="33"/>
      <c r="H27" s="33"/>
      <c r="I27" s="30"/>
      <c r="J27" s="30" t="str">
        <f t="shared" ca="1" si="0"/>
        <v>Nadcházející</v>
      </c>
    </row>
    <row r="28" spans="1:13" ht="26.1" customHeight="1" x14ac:dyDescent="0.2">
      <c r="A28" s="57">
        <v>46285</v>
      </c>
      <c r="B28" s="33" t="s">
        <v>526</v>
      </c>
      <c r="C28" s="30" t="s">
        <v>3</v>
      </c>
      <c r="D28" s="30" t="s">
        <v>27</v>
      </c>
      <c r="E28" s="30" t="s">
        <v>563</v>
      </c>
      <c r="F28" s="59" t="s">
        <v>559</v>
      </c>
      <c r="G28" s="33"/>
      <c r="H28" s="33"/>
      <c r="I28" s="30"/>
      <c r="J28" s="30" t="str">
        <f t="shared" ca="1" si="0"/>
        <v>Nadcházející</v>
      </c>
    </row>
    <row r="29" spans="1:13" ht="26.1" customHeight="1" x14ac:dyDescent="0.2">
      <c r="A29" s="57">
        <v>46285</v>
      </c>
      <c r="B29" s="33" t="s">
        <v>526</v>
      </c>
      <c r="C29" s="30" t="s">
        <v>4</v>
      </c>
      <c r="D29" s="30" t="s">
        <v>28</v>
      </c>
      <c r="E29" s="30" t="s">
        <v>548</v>
      </c>
      <c r="F29" s="59" t="s">
        <v>564</v>
      </c>
      <c r="G29" s="33"/>
      <c r="H29" s="33"/>
      <c r="I29" s="30"/>
      <c r="J29" s="30" t="str">
        <f t="shared" ca="1" si="0"/>
        <v>Nadcházející</v>
      </c>
    </row>
    <row r="30" spans="1:13" ht="26.1" customHeight="1" x14ac:dyDescent="0.2">
      <c r="A30" s="57">
        <v>46291</v>
      </c>
      <c r="B30" s="33" t="s">
        <v>523</v>
      </c>
      <c r="C30" s="30" t="s">
        <v>6</v>
      </c>
      <c r="D30" s="30" t="s">
        <v>29</v>
      </c>
      <c r="E30" s="30" t="s">
        <v>565</v>
      </c>
      <c r="F30" s="59" t="s">
        <v>566</v>
      </c>
      <c r="G30" s="33"/>
      <c r="H30" s="33"/>
      <c r="I30" s="30"/>
      <c r="J30" s="30" t="str">
        <f t="shared" ca="1" si="0"/>
        <v>Nadcházející</v>
      </c>
    </row>
    <row r="31" spans="1:13" ht="26.1" customHeight="1" x14ac:dyDescent="0.2">
      <c r="A31" s="57">
        <v>46291</v>
      </c>
      <c r="B31" s="33" t="s">
        <v>523</v>
      </c>
      <c r="C31" s="30" t="s">
        <v>18</v>
      </c>
      <c r="D31" s="30" t="s">
        <v>34</v>
      </c>
      <c r="E31" s="30" t="s">
        <v>537</v>
      </c>
      <c r="F31" s="59" t="s">
        <v>567</v>
      </c>
      <c r="G31" s="33"/>
      <c r="H31" s="33"/>
      <c r="I31" s="30"/>
      <c r="J31" s="30" t="str">
        <f t="shared" ca="1" si="0"/>
        <v>Nadcházející</v>
      </c>
    </row>
    <row r="32" spans="1:13" ht="26.1" customHeight="1" x14ac:dyDescent="0.2">
      <c r="A32" s="57">
        <v>46291</v>
      </c>
      <c r="B32" s="33" t="s">
        <v>523</v>
      </c>
      <c r="C32" s="30" t="s">
        <v>16</v>
      </c>
      <c r="D32" s="30" t="s">
        <v>34</v>
      </c>
      <c r="E32" s="30" t="s">
        <v>539</v>
      </c>
      <c r="F32" s="59" t="s">
        <v>546</v>
      </c>
      <c r="G32" s="33"/>
      <c r="H32" s="33"/>
      <c r="I32" s="30"/>
      <c r="J32" s="30" t="str">
        <f t="shared" ca="1" si="0"/>
        <v>Nadcházející</v>
      </c>
    </row>
    <row r="33" spans="1:10" ht="26.1" customHeight="1" x14ac:dyDescent="0.2">
      <c r="A33" s="57">
        <v>46291</v>
      </c>
      <c r="B33" s="33" t="s">
        <v>523</v>
      </c>
      <c r="C33" s="30" t="s">
        <v>22</v>
      </c>
      <c r="D33" s="30" t="s">
        <v>34</v>
      </c>
      <c r="E33" s="30" t="s">
        <v>568</v>
      </c>
      <c r="F33" s="59" t="s">
        <v>569</v>
      </c>
      <c r="G33" s="33"/>
      <c r="H33" s="33"/>
      <c r="I33" s="30"/>
      <c r="J33" s="30" t="str">
        <f t="shared" ca="1" si="0"/>
        <v>Nadcházející</v>
      </c>
    </row>
    <row r="34" spans="1:10" ht="26.1" customHeight="1" x14ac:dyDescent="0.2">
      <c r="A34" s="57">
        <v>46291</v>
      </c>
      <c r="B34" s="33" t="s">
        <v>523</v>
      </c>
      <c r="C34" s="30" t="s">
        <v>20</v>
      </c>
      <c r="D34" s="30" t="s">
        <v>34</v>
      </c>
      <c r="E34" s="30" t="s">
        <v>570</v>
      </c>
      <c r="F34" s="59" t="s">
        <v>571</v>
      </c>
      <c r="G34" s="33"/>
      <c r="H34" s="33"/>
      <c r="I34" s="30"/>
      <c r="J34" s="30" t="str">
        <f t="shared" ca="1" si="0"/>
        <v>Nadcházející</v>
      </c>
    </row>
    <row r="35" spans="1:10" ht="26.1" customHeight="1" x14ac:dyDescent="0.2">
      <c r="A35" s="57">
        <v>46291</v>
      </c>
      <c r="B35" s="33" t="s">
        <v>523</v>
      </c>
      <c r="C35" s="30" t="s">
        <v>2</v>
      </c>
      <c r="D35" s="30" t="s">
        <v>26</v>
      </c>
      <c r="E35" s="30" t="s">
        <v>572</v>
      </c>
      <c r="F35" s="59" t="s">
        <v>573</v>
      </c>
      <c r="G35" s="33"/>
      <c r="H35" s="33"/>
      <c r="I35" s="30"/>
      <c r="J35" s="30" t="str">
        <f t="shared" ca="1" si="0"/>
        <v>Nadcházející</v>
      </c>
    </row>
    <row r="36" spans="1:10" ht="26.1" customHeight="1" x14ac:dyDescent="0.2">
      <c r="A36" s="57">
        <v>46291</v>
      </c>
      <c r="B36" s="33" t="s">
        <v>523</v>
      </c>
      <c r="C36" s="30" t="s">
        <v>10</v>
      </c>
      <c r="D36" s="30" t="s">
        <v>32</v>
      </c>
      <c r="E36" s="30" t="s">
        <v>574</v>
      </c>
      <c r="F36" s="59" t="s">
        <v>564</v>
      </c>
      <c r="G36" s="33"/>
      <c r="H36" s="33"/>
      <c r="I36" s="30"/>
      <c r="J36" s="30" t="str">
        <f t="shared" ca="1" si="0"/>
        <v>Nadcházející</v>
      </c>
    </row>
    <row r="37" spans="1:10" ht="26.1" customHeight="1" x14ac:dyDescent="0.2">
      <c r="A37" s="57">
        <v>46291</v>
      </c>
      <c r="B37" s="33" t="s">
        <v>523</v>
      </c>
      <c r="C37" s="30" t="s">
        <v>11</v>
      </c>
      <c r="D37" s="30" t="s">
        <v>32</v>
      </c>
      <c r="E37" s="30" t="s">
        <v>575</v>
      </c>
      <c r="F37" s="59" t="s">
        <v>522</v>
      </c>
      <c r="G37" s="33"/>
      <c r="H37" s="33"/>
      <c r="I37" s="30"/>
      <c r="J37" s="30" t="str">
        <f t="shared" ca="1" si="0"/>
        <v>Nadcházející</v>
      </c>
    </row>
    <row r="38" spans="1:10" ht="26.1" customHeight="1" x14ac:dyDescent="0.2">
      <c r="A38" s="57">
        <v>46291</v>
      </c>
      <c r="B38" s="33" t="s">
        <v>523</v>
      </c>
      <c r="C38" s="30" t="s">
        <v>12</v>
      </c>
      <c r="D38" s="30" t="s">
        <v>33</v>
      </c>
      <c r="E38" s="30" t="s">
        <v>576</v>
      </c>
      <c r="F38" s="59" t="s">
        <v>577</v>
      </c>
      <c r="G38" s="33"/>
      <c r="H38" s="33"/>
      <c r="I38" s="30"/>
      <c r="J38" s="30" t="str">
        <f t="shared" ca="1" si="0"/>
        <v>Nadcházející</v>
      </c>
    </row>
    <row r="39" spans="1:10" ht="26.1" customHeight="1" x14ac:dyDescent="0.2">
      <c r="A39" s="57">
        <v>46292</v>
      </c>
      <c r="B39" s="33" t="s">
        <v>526</v>
      </c>
      <c r="C39" s="30" t="s">
        <v>6</v>
      </c>
      <c r="D39" s="30" t="s">
        <v>29</v>
      </c>
      <c r="E39" s="30" t="s">
        <v>565</v>
      </c>
      <c r="F39" s="59" t="s">
        <v>578</v>
      </c>
      <c r="G39" s="33"/>
      <c r="H39" s="33"/>
      <c r="I39" s="30"/>
      <c r="J39" s="30" t="str">
        <f t="shared" ca="1" si="0"/>
        <v>Nadcházející</v>
      </c>
    </row>
    <row r="40" spans="1:10" ht="26.1" customHeight="1" x14ac:dyDescent="0.2">
      <c r="A40" s="57">
        <v>46292</v>
      </c>
      <c r="B40" s="33" t="s">
        <v>526</v>
      </c>
      <c r="C40" s="30" t="s">
        <v>16</v>
      </c>
      <c r="D40" s="30" t="s">
        <v>34</v>
      </c>
      <c r="E40" s="30" t="s">
        <v>579</v>
      </c>
      <c r="F40" s="59" t="s">
        <v>540</v>
      </c>
      <c r="G40" s="33"/>
      <c r="H40" s="33"/>
      <c r="I40" s="30"/>
      <c r="J40" s="30" t="str">
        <f t="shared" ca="1" si="0"/>
        <v>Nadcházející</v>
      </c>
    </row>
    <row r="41" spans="1:10" ht="26.1" customHeight="1" x14ac:dyDescent="0.2">
      <c r="A41" s="57">
        <v>46292</v>
      </c>
      <c r="B41" s="33" t="s">
        <v>526</v>
      </c>
      <c r="C41" s="30" t="s">
        <v>20</v>
      </c>
      <c r="D41" s="30" t="s">
        <v>34</v>
      </c>
      <c r="E41" s="30" t="s">
        <v>541</v>
      </c>
      <c r="F41" s="59" t="s">
        <v>580</v>
      </c>
      <c r="G41" s="33"/>
      <c r="H41" s="33"/>
      <c r="I41" s="30"/>
      <c r="J41" s="30" t="str">
        <f t="shared" ca="1" si="0"/>
        <v>Nadcházející</v>
      </c>
    </row>
    <row r="42" spans="1:10" ht="26.1" customHeight="1" x14ac:dyDescent="0.2">
      <c r="A42" s="57">
        <v>46292</v>
      </c>
      <c r="B42" s="33" t="s">
        <v>526</v>
      </c>
      <c r="C42" s="30" t="s">
        <v>10</v>
      </c>
      <c r="D42" s="30" t="s">
        <v>32</v>
      </c>
      <c r="E42" s="30" t="s">
        <v>565</v>
      </c>
      <c r="F42" s="59" t="s">
        <v>528</v>
      </c>
      <c r="G42" s="33"/>
      <c r="H42" s="33"/>
      <c r="I42" s="30"/>
      <c r="J42" s="30" t="str">
        <f t="shared" ca="1" si="0"/>
        <v>Nadcházející</v>
      </c>
    </row>
    <row r="43" spans="1:10" ht="26.1" customHeight="1" x14ac:dyDescent="0.2">
      <c r="A43" s="57">
        <v>46292</v>
      </c>
      <c r="B43" s="33" t="s">
        <v>526</v>
      </c>
      <c r="C43" s="30" t="s">
        <v>11</v>
      </c>
      <c r="D43" s="30" t="s">
        <v>32</v>
      </c>
      <c r="E43" s="30" t="s">
        <v>581</v>
      </c>
      <c r="F43" s="59" t="s">
        <v>582</v>
      </c>
      <c r="G43" s="33"/>
      <c r="H43" s="33"/>
      <c r="I43" s="30"/>
      <c r="J43" s="30" t="str">
        <f t="shared" ca="1" si="0"/>
        <v>Nadcházející</v>
      </c>
    </row>
    <row r="44" spans="1:10" ht="26.1" customHeight="1" x14ac:dyDescent="0.2">
      <c r="A44" s="57">
        <v>46292</v>
      </c>
      <c r="B44" s="33" t="s">
        <v>526</v>
      </c>
      <c r="C44" s="30" t="s">
        <v>12</v>
      </c>
      <c r="D44" s="30" t="s">
        <v>33</v>
      </c>
      <c r="E44" s="30" t="s">
        <v>583</v>
      </c>
      <c r="F44" s="59" t="s">
        <v>584</v>
      </c>
      <c r="G44" s="33"/>
      <c r="H44" s="33"/>
      <c r="I44" s="30"/>
      <c r="J44" s="30" t="str">
        <f t="shared" ca="1" si="0"/>
        <v>Nadcházející</v>
      </c>
    </row>
    <row r="45" spans="1:10" ht="26.1" customHeight="1" x14ac:dyDescent="0.2">
      <c r="A45" s="57">
        <v>46298</v>
      </c>
      <c r="B45" s="33" t="s">
        <v>523</v>
      </c>
      <c r="C45" s="30" t="s">
        <v>7</v>
      </c>
      <c r="D45" s="30" t="s">
        <v>30</v>
      </c>
      <c r="E45" s="30" t="s">
        <v>585</v>
      </c>
      <c r="F45" s="59" t="s">
        <v>586</v>
      </c>
      <c r="G45" s="33"/>
      <c r="H45" s="33"/>
      <c r="I45" s="30"/>
      <c r="J45" s="30" t="str">
        <f t="shared" ca="1" si="0"/>
        <v>Nadcházející</v>
      </c>
    </row>
    <row r="46" spans="1:10" ht="26.1" customHeight="1" x14ac:dyDescent="0.2">
      <c r="A46" s="57">
        <v>46298</v>
      </c>
      <c r="B46" s="33" t="s">
        <v>523</v>
      </c>
      <c r="C46" s="30" t="s">
        <v>8</v>
      </c>
      <c r="D46" s="30" t="s">
        <v>31</v>
      </c>
      <c r="E46" s="30" t="s">
        <v>587</v>
      </c>
      <c r="F46" s="59" t="s">
        <v>588</v>
      </c>
      <c r="G46" s="33"/>
      <c r="H46" s="33"/>
      <c r="I46" s="30"/>
      <c r="J46" s="30" t="str">
        <f t="shared" ca="1" si="0"/>
        <v>Nadcházející</v>
      </c>
    </row>
    <row r="47" spans="1:10" ht="26.1" customHeight="1" x14ac:dyDescent="0.2">
      <c r="A47" s="57">
        <v>46298</v>
      </c>
      <c r="B47" s="33" t="s">
        <v>523</v>
      </c>
      <c r="C47" s="30" t="s">
        <v>9</v>
      </c>
      <c r="D47" s="30" t="s">
        <v>30</v>
      </c>
      <c r="E47" s="30" t="s">
        <v>589</v>
      </c>
      <c r="F47" s="59" t="s">
        <v>590</v>
      </c>
      <c r="G47" s="33"/>
      <c r="H47" s="33"/>
      <c r="I47" s="30"/>
      <c r="J47" s="30" t="str">
        <f t="shared" ca="1" si="0"/>
        <v>Nadcházející</v>
      </c>
    </row>
    <row r="48" spans="1:10" ht="26.1" customHeight="1" x14ac:dyDescent="0.2">
      <c r="A48" s="57">
        <v>46298</v>
      </c>
      <c r="B48" s="33" t="s">
        <v>523</v>
      </c>
      <c r="C48" s="30" t="s">
        <v>19</v>
      </c>
      <c r="D48" s="30" t="s">
        <v>26</v>
      </c>
      <c r="E48" s="30" t="s">
        <v>591</v>
      </c>
      <c r="F48" s="59" t="s">
        <v>592</v>
      </c>
      <c r="G48" s="33"/>
      <c r="H48" s="33"/>
      <c r="I48" s="30"/>
      <c r="J48" s="30" t="str">
        <f t="shared" ca="1" si="0"/>
        <v>Nadcházející</v>
      </c>
    </row>
    <row r="49" spans="1:10" ht="26.1" customHeight="1" x14ac:dyDescent="0.2">
      <c r="A49" s="57">
        <v>46298</v>
      </c>
      <c r="B49" s="33" t="s">
        <v>523</v>
      </c>
      <c r="C49" s="30" t="s">
        <v>17</v>
      </c>
      <c r="D49" s="30" t="s">
        <v>34</v>
      </c>
      <c r="E49" s="30" t="s">
        <v>541</v>
      </c>
      <c r="F49" s="59" t="s">
        <v>593</v>
      </c>
      <c r="G49" s="33"/>
      <c r="H49" s="33"/>
      <c r="I49" s="30"/>
      <c r="J49" s="30" t="str">
        <f t="shared" ca="1" si="0"/>
        <v>Nadcházející</v>
      </c>
    </row>
    <row r="50" spans="1:10" ht="26.1" customHeight="1" x14ac:dyDescent="0.2">
      <c r="A50" s="57">
        <v>46298</v>
      </c>
      <c r="B50" s="33" t="s">
        <v>523</v>
      </c>
      <c r="C50" s="30" t="s">
        <v>23</v>
      </c>
      <c r="D50" s="30" t="s">
        <v>26</v>
      </c>
      <c r="E50" s="30" t="s">
        <v>594</v>
      </c>
      <c r="F50" s="59" t="s">
        <v>595</v>
      </c>
      <c r="G50" s="33"/>
      <c r="H50" s="33"/>
      <c r="I50" s="30"/>
      <c r="J50" s="30" t="str">
        <f t="shared" ca="1" si="0"/>
        <v>Nadcházející</v>
      </c>
    </row>
    <row r="51" spans="1:10" ht="26.1" customHeight="1" x14ac:dyDescent="0.2">
      <c r="A51" s="57">
        <v>46298</v>
      </c>
      <c r="B51" s="33" t="s">
        <v>523</v>
      </c>
      <c r="C51" s="30" t="s">
        <v>21</v>
      </c>
      <c r="D51" s="30" t="s">
        <v>34</v>
      </c>
      <c r="E51" s="30" t="s">
        <v>558</v>
      </c>
      <c r="F51" s="59" t="s">
        <v>596</v>
      </c>
      <c r="G51" s="33"/>
      <c r="H51" s="33"/>
      <c r="I51" s="30"/>
      <c r="J51" s="30" t="str">
        <f t="shared" ca="1" si="0"/>
        <v>Nadcházející</v>
      </c>
    </row>
    <row r="52" spans="1:10" ht="26.1" customHeight="1" x14ac:dyDescent="0.2">
      <c r="A52" s="57">
        <v>46298</v>
      </c>
      <c r="B52" s="33" t="s">
        <v>523</v>
      </c>
      <c r="C52" s="30" t="s">
        <v>1</v>
      </c>
      <c r="D52" s="30" t="s">
        <v>25</v>
      </c>
      <c r="E52" s="30" t="s">
        <v>597</v>
      </c>
      <c r="F52" s="59" t="s">
        <v>598</v>
      </c>
      <c r="G52" s="33"/>
      <c r="H52" s="33"/>
      <c r="I52" s="30"/>
      <c r="J52" s="30" t="str">
        <f t="shared" ca="1" si="0"/>
        <v>Nadcházející</v>
      </c>
    </row>
    <row r="53" spans="1:10" ht="26.1" customHeight="1" x14ac:dyDescent="0.2">
      <c r="A53" s="57">
        <v>46298</v>
      </c>
      <c r="B53" s="33" t="s">
        <v>523</v>
      </c>
      <c r="C53" s="30" t="s">
        <v>13</v>
      </c>
      <c r="D53" s="30" t="s">
        <v>32</v>
      </c>
      <c r="E53" s="30" t="s">
        <v>599</v>
      </c>
      <c r="F53" s="59" t="s">
        <v>600</v>
      </c>
      <c r="G53" s="33"/>
      <c r="H53" s="33"/>
      <c r="I53" s="30"/>
      <c r="J53" s="30" t="str">
        <f t="shared" ca="1" si="0"/>
        <v>Nadcházející</v>
      </c>
    </row>
    <row r="54" spans="1:10" ht="26.1" customHeight="1" x14ac:dyDescent="0.2">
      <c r="A54" s="57">
        <v>46298</v>
      </c>
      <c r="B54" s="33" t="s">
        <v>523</v>
      </c>
      <c r="C54" s="30" t="s">
        <v>14</v>
      </c>
      <c r="D54" s="30" t="s">
        <v>32</v>
      </c>
      <c r="E54" s="30" t="s">
        <v>601</v>
      </c>
      <c r="F54" s="59" t="s">
        <v>602</v>
      </c>
      <c r="G54" s="33"/>
      <c r="H54" s="33"/>
      <c r="I54" s="30"/>
      <c r="J54" s="30" t="str">
        <f t="shared" ca="1" si="0"/>
        <v>Nadcházející</v>
      </c>
    </row>
    <row r="55" spans="1:10" ht="26.1" customHeight="1" x14ac:dyDescent="0.2">
      <c r="A55" s="57">
        <v>46298</v>
      </c>
      <c r="B55" s="33" t="s">
        <v>523</v>
      </c>
      <c r="C55" s="30" t="s">
        <v>15</v>
      </c>
      <c r="D55" s="30" t="s">
        <v>30</v>
      </c>
      <c r="E55" s="30" t="s">
        <v>603</v>
      </c>
      <c r="F55" s="59" t="s">
        <v>522</v>
      </c>
      <c r="G55" s="33"/>
      <c r="H55" s="33"/>
      <c r="I55" s="30"/>
      <c r="J55" s="30" t="str">
        <f t="shared" ca="1" si="0"/>
        <v>Nadcházející</v>
      </c>
    </row>
    <row r="56" spans="1:10" ht="26.1" customHeight="1" x14ac:dyDescent="0.2">
      <c r="A56" s="57">
        <v>46298</v>
      </c>
      <c r="B56" s="33" t="s">
        <v>523</v>
      </c>
      <c r="C56" s="30" t="s">
        <v>3</v>
      </c>
      <c r="D56" s="30" t="s">
        <v>27</v>
      </c>
      <c r="E56" s="30" t="s">
        <v>604</v>
      </c>
      <c r="F56" s="59" t="s">
        <v>571</v>
      </c>
      <c r="G56" s="33"/>
      <c r="H56" s="33"/>
      <c r="I56" s="30"/>
      <c r="J56" s="30" t="str">
        <f t="shared" ca="1" si="0"/>
        <v>Nadcházející</v>
      </c>
    </row>
    <row r="57" spans="1:10" ht="26.1" customHeight="1" x14ac:dyDescent="0.2">
      <c r="A57" s="57">
        <v>46298</v>
      </c>
      <c r="B57" s="33" t="s">
        <v>523</v>
      </c>
      <c r="C57" s="30" t="s">
        <v>4</v>
      </c>
      <c r="D57" s="30" t="s">
        <v>28</v>
      </c>
      <c r="E57" s="30" t="s">
        <v>605</v>
      </c>
      <c r="F57" s="59" t="s">
        <v>606</v>
      </c>
      <c r="G57" s="33"/>
      <c r="H57" s="33"/>
      <c r="I57" s="30"/>
      <c r="J57" s="30" t="str">
        <f t="shared" ca="1" si="0"/>
        <v>Nadcházející</v>
      </c>
    </row>
    <row r="58" spans="1:10" ht="26.1" customHeight="1" x14ac:dyDescent="0.2">
      <c r="A58" s="57">
        <v>46298</v>
      </c>
      <c r="B58" s="33" t="s">
        <v>523</v>
      </c>
      <c r="C58" s="30" t="s">
        <v>5</v>
      </c>
      <c r="D58" s="30" t="s">
        <v>28</v>
      </c>
      <c r="E58" s="30" t="s">
        <v>607</v>
      </c>
      <c r="F58" s="59" t="s">
        <v>559</v>
      </c>
      <c r="G58" s="33"/>
      <c r="H58" s="33"/>
      <c r="I58" s="30"/>
      <c r="J58" s="30" t="str">
        <f t="shared" ca="1" si="0"/>
        <v>Nadcházející</v>
      </c>
    </row>
    <row r="59" spans="1:10" ht="26.1" customHeight="1" x14ac:dyDescent="0.2">
      <c r="A59" s="57">
        <v>46299</v>
      </c>
      <c r="B59" s="33" t="s">
        <v>526</v>
      </c>
      <c r="C59" s="30" t="s">
        <v>7</v>
      </c>
      <c r="D59" s="30" t="s">
        <v>30</v>
      </c>
      <c r="E59" s="30" t="s">
        <v>583</v>
      </c>
      <c r="F59" s="59" t="s">
        <v>608</v>
      </c>
      <c r="G59" s="33"/>
      <c r="H59" s="33"/>
      <c r="I59" s="30"/>
      <c r="J59" s="30" t="str">
        <f t="shared" ca="1" si="0"/>
        <v>Nadcházející</v>
      </c>
    </row>
    <row r="60" spans="1:10" ht="26.1" customHeight="1" x14ac:dyDescent="0.2">
      <c r="A60" s="57">
        <v>46299</v>
      </c>
      <c r="B60" s="33" t="s">
        <v>526</v>
      </c>
      <c r="C60" s="30" t="s">
        <v>8</v>
      </c>
      <c r="D60" s="30" t="s">
        <v>31</v>
      </c>
      <c r="E60" s="30" t="s">
        <v>570</v>
      </c>
      <c r="F60" s="59" t="s">
        <v>609</v>
      </c>
      <c r="G60" s="33"/>
      <c r="H60" s="33"/>
      <c r="I60" s="30"/>
      <c r="J60" s="30" t="str">
        <f t="shared" ca="1" si="0"/>
        <v>Nadcházející</v>
      </c>
    </row>
    <row r="61" spans="1:10" ht="26.1" customHeight="1" x14ac:dyDescent="0.2">
      <c r="A61" s="57">
        <v>46299</v>
      </c>
      <c r="B61" s="33" t="s">
        <v>526</v>
      </c>
      <c r="C61" s="30" t="s">
        <v>9</v>
      </c>
      <c r="D61" s="30" t="s">
        <v>30</v>
      </c>
      <c r="E61" s="30" t="s">
        <v>610</v>
      </c>
      <c r="F61" s="59" t="s">
        <v>611</v>
      </c>
      <c r="G61" s="33"/>
      <c r="H61" s="33"/>
      <c r="I61" s="30"/>
      <c r="J61" s="30" t="str">
        <f t="shared" ca="1" si="0"/>
        <v>Nadcházející</v>
      </c>
    </row>
    <row r="62" spans="1:10" ht="26.1" customHeight="1" x14ac:dyDescent="0.2">
      <c r="A62" s="57">
        <v>46299</v>
      </c>
      <c r="B62" s="33" t="s">
        <v>526</v>
      </c>
      <c r="C62" s="30" t="s">
        <v>1</v>
      </c>
      <c r="D62" s="30" t="s">
        <v>25</v>
      </c>
      <c r="E62" s="30" t="s">
        <v>583</v>
      </c>
      <c r="F62" s="59" t="s">
        <v>612</v>
      </c>
      <c r="G62" s="33"/>
      <c r="H62" s="33"/>
      <c r="I62" s="30"/>
      <c r="J62" s="30" t="str">
        <f t="shared" ca="1" si="0"/>
        <v>Nadcházející</v>
      </c>
    </row>
    <row r="63" spans="1:10" ht="26.1" customHeight="1" x14ac:dyDescent="0.2">
      <c r="A63" s="57">
        <v>46299</v>
      </c>
      <c r="B63" s="33" t="s">
        <v>526</v>
      </c>
      <c r="C63" s="30" t="s">
        <v>13</v>
      </c>
      <c r="D63" s="30" t="s">
        <v>32</v>
      </c>
      <c r="E63" s="30" t="s">
        <v>613</v>
      </c>
      <c r="F63" s="59" t="s">
        <v>614</v>
      </c>
      <c r="G63" s="33"/>
      <c r="H63" s="33"/>
      <c r="I63" s="30"/>
      <c r="J63" s="30" t="str">
        <f t="shared" ca="1" si="0"/>
        <v>Nadcházející</v>
      </c>
    </row>
    <row r="64" spans="1:10" ht="26.1" customHeight="1" x14ac:dyDescent="0.2">
      <c r="A64" s="57">
        <v>46299</v>
      </c>
      <c r="B64" s="33" t="s">
        <v>526</v>
      </c>
      <c r="C64" s="30" t="s">
        <v>14</v>
      </c>
      <c r="D64" s="30" t="s">
        <v>32</v>
      </c>
      <c r="E64" s="30" t="s">
        <v>615</v>
      </c>
      <c r="F64" s="59" t="s">
        <v>616</v>
      </c>
      <c r="G64" s="33"/>
      <c r="H64" s="33"/>
      <c r="I64" s="30"/>
      <c r="J64" s="30" t="str">
        <f t="shared" ca="1" si="0"/>
        <v>Nadcházející</v>
      </c>
    </row>
    <row r="65" spans="1:10" ht="26.1" customHeight="1" x14ac:dyDescent="0.2">
      <c r="A65" s="57">
        <v>46299</v>
      </c>
      <c r="B65" s="33" t="s">
        <v>526</v>
      </c>
      <c r="C65" s="30" t="s">
        <v>3</v>
      </c>
      <c r="D65" s="30" t="s">
        <v>27</v>
      </c>
      <c r="E65" s="30" t="s">
        <v>617</v>
      </c>
      <c r="F65" s="59" t="s">
        <v>612</v>
      </c>
      <c r="G65" s="33"/>
      <c r="H65" s="33"/>
      <c r="I65" s="30"/>
      <c r="J65" s="30" t="str">
        <f t="shared" ca="1" si="0"/>
        <v>Nadcházející</v>
      </c>
    </row>
    <row r="66" spans="1:10" ht="26.1" customHeight="1" x14ac:dyDescent="0.2">
      <c r="A66" s="57">
        <v>46299</v>
      </c>
      <c r="B66" s="33" t="s">
        <v>526</v>
      </c>
      <c r="C66" s="30" t="s">
        <v>4</v>
      </c>
      <c r="D66" s="30" t="s">
        <v>28</v>
      </c>
      <c r="E66" s="30" t="s">
        <v>607</v>
      </c>
      <c r="F66" s="59" t="s">
        <v>571</v>
      </c>
      <c r="G66" s="33"/>
      <c r="H66" s="33"/>
      <c r="I66" s="30"/>
      <c r="J66" s="30" t="str">
        <f t="shared" ca="1" si="0"/>
        <v>Nadcházející</v>
      </c>
    </row>
    <row r="67" spans="1:10" ht="26.1" customHeight="1" x14ac:dyDescent="0.2">
      <c r="A67" s="57">
        <v>46299</v>
      </c>
      <c r="B67" s="33" t="s">
        <v>526</v>
      </c>
      <c r="C67" s="30" t="s">
        <v>5</v>
      </c>
      <c r="D67" s="30" t="s">
        <v>28</v>
      </c>
      <c r="E67" s="30" t="s">
        <v>605</v>
      </c>
      <c r="F67" s="59" t="s">
        <v>618</v>
      </c>
      <c r="G67" s="33"/>
      <c r="H67" s="33"/>
      <c r="I67" s="30"/>
      <c r="J67" s="30" t="str">
        <f t="shared" ca="1" si="0"/>
        <v>Nadcházející</v>
      </c>
    </row>
    <row r="68" spans="1:10" ht="26.1" customHeight="1" x14ac:dyDescent="0.2">
      <c r="A68" s="57">
        <v>46305</v>
      </c>
      <c r="B68" s="33" t="s">
        <v>523</v>
      </c>
      <c r="C68" s="30" t="s">
        <v>6</v>
      </c>
      <c r="D68" s="30" t="s">
        <v>29</v>
      </c>
      <c r="E68" s="30" t="s">
        <v>619</v>
      </c>
      <c r="F68" s="59" t="s">
        <v>620</v>
      </c>
      <c r="G68" s="33"/>
      <c r="H68" s="33"/>
      <c r="I68" s="30"/>
      <c r="J68" s="30" t="str">
        <f t="shared" ca="1" si="0"/>
        <v>Nadcházející</v>
      </c>
    </row>
    <row r="69" spans="1:10" ht="26.1" customHeight="1" x14ac:dyDescent="0.2">
      <c r="A69" s="57">
        <v>46305</v>
      </c>
      <c r="B69" s="33" t="s">
        <v>523</v>
      </c>
      <c r="C69" s="30" t="s">
        <v>18</v>
      </c>
      <c r="D69" s="30" t="s">
        <v>34</v>
      </c>
      <c r="E69" s="30" t="s">
        <v>541</v>
      </c>
      <c r="F69" s="59" t="s">
        <v>621</v>
      </c>
      <c r="G69" s="33"/>
      <c r="H69" s="33"/>
      <c r="I69" s="30"/>
      <c r="J69" s="30" t="str">
        <f t="shared" ref="J69:J132" ca="1" si="1">IF(A69&lt;TODAY(),"Odehráno",IF(A69=TODAY(),"Dnes","Nadcházející"))</f>
        <v>Nadcházející</v>
      </c>
    </row>
    <row r="70" spans="1:10" ht="26.1" customHeight="1" x14ac:dyDescent="0.2">
      <c r="A70" s="57">
        <v>46305</v>
      </c>
      <c r="B70" s="33" t="s">
        <v>523</v>
      </c>
      <c r="C70" s="30" t="s">
        <v>16</v>
      </c>
      <c r="D70" s="30" t="s">
        <v>34</v>
      </c>
      <c r="E70" s="30" t="s">
        <v>568</v>
      </c>
      <c r="F70" s="59" t="s">
        <v>606</v>
      </c>
      <c r="G70" s="33"/>
      <c r="H70" s="33"/>
      <c r="I70" s="30"/>
      <c r="J70" s="30" t="str">
        <f t="shared" ca="1" si="1"/>
        <v>Nadcházející</v>
      </c>
    </row>
    <row r="71" spans="1:10" ht="26.1" customHeight="1" x14ac:dyDescent="0.2">
      <c r="A71" s="57">
        <v>46305</v>
      </c>
      <c r="B71" s="33" t="s">
        <v>523</v>
      </c>
      <c r="C71" s="30" t="s">
        <v>22</v>
      </c>
      <c r="D71" s="30" t="s">
        <v>34</v>
      </c>
      <c r="E71" s="30" t="s">
        <v>556</v>
      </c>
      <c r="F71" s="59" t="s">
        <v>622</v>
      </c>
      <c r="G71" s="33"/>
      <c r="H71" s="33"/>
      <c r="I71" s="30"/>
      <c r="J71" s="30" t="str">
        <f t="shared" ca="1" si="1"/>
        <v>Nadcházející</v>
      </c>
    </row>
    <row r="72" spans="1:10" ht="26.1" customHeight="1" x14ac:dyDescent="0.2">
      <c r="A72" s="57">
        <v>46305</v>
      </c>
      <c r="B72" s="33" t="s">
        <v>523</v>
      </c>
      <c r="C72" s="30" t="s">
        <v>2</v>
      </c>
      <c r="D72" s="30" t="s">
        <v>26</v>
      </c>
      <c r="E72" s="30" t="s">
        <v>623</v>
      </c>
      <c r="F72" s="59" t="s">
        <v>624</v>
      </c>
      <c r="G72" s="33"/>
      <c r="H72" s="33"/>
      <c r="I72" s="30"/>
      <c r="J72" s="30" t="str">
        <f t="shared" ca="1" si="1"/>
        <v>Nadcházející</v>
      </c>
    </row>
    <row r="73" spans="1:10" ht="26.1" customHeight="1" x14ac:dyDescent="0.2">
      <c r="A73" s="57">
        <v>46305</v>
      </c>
      <c r="B73" s="33" t="s">
        <v>523</v>
      </c>
      <c r="C73" s="30" t="s">
        <v>10</v>
      </c>
      <c r="D73" s="30" t="s">
        <v>32</v>
      </c>
      <c r="E73" s="30" t="s">
        <v>560</v>
      </c>
      <c r="F73" s="59" t="s">
        <v>625</v>
      </c>
      <c r="G73" s="33"/>
      <c r="H73" s="33"/>
      <c r="I73" s="30"/>
      <c r="J73" s="30" t="str">
        <f t="shared" ca="1" si="1"/>
        <v>Nadcházející</v>
      </c>
    </row>
    <row r="74" spans="1:10" ht="26.1" customHeight="1" x14ac:dyDescent="0.2">
      <c r="A74" s="57">
        <v>46305</v>
      </c>
      <c r="B74" s="33" t="s">
        <v>523</v>
      </c>
      <c r="C74" s="30" t="s">
        <v>11</v>
      </c>
      <c r="D74" s="30" t="s">
        <v>32</v>
      </c>
      <c r="E74" s="30" t="s">
        <v>574</v>
      </c>
      <c r="F74" s="59" t="s">
        <v>626</v>
      </c>
      <c r="G74" s="33"/>
      <c r="H74" s="33"/>
      <c r="I74" s="30"/>
      <c r="J74" s="30" t="str">
        <f t="shared" ca="1" si="1"/>
        <v>Nadcházející</v>
      </c>
    </row>
    <row r="75" spans="1:10" ht="26.1" customHeight="1" x14ac:dyDescent="0.2">
      <c r="A75" s="57">
        <v>46305</v>
      </c>
      <c r="B75" s="33" t="s">
        <v>523</v>
      </c>
      <c r="C75" s="30" t="s">
        <v>12</v>
      </c>
      <c r="D75" s="30" t="s">
        <v>33</v>
      </c>
      <c r="E75" s="30" t="s">
        <v>627</v>
      </c>
      <c r="F75" s="59" t="s">
        <v>628</v>
      </c>
      <c r="G75" s="33"/>
      <c r="H75" s="33"/>
      <c r="I75" s="30"/>
      <c r="J75" s="30" t="str">
        <f t="shared" ca="1" si="1"/>
        <v>Nadcházející</v>
      </c>
    </row>
    <row r="76" spans="1:10" ht="26.1" customHeight="1" x14ac:dyDescent="0.2">
      <c r="A76" s="57">
        <v>46306</v>
      </c>
      <c r="B76" s="33" t="s">
        <v>526</v>
      </c>
      <c r="C76" s="30" t="s">
        <v>6</v>
      </c>
      <c r="D76" s="30" t="s">
        <v>29</v>
      </c>
      <c r="E76" s="30" t="s">
        <v>548</v>
      </c>
      <c r="F76" s="59" t="s">
        <v>629</v>
      </c>
      <c r="G76" s="33"/>
      <c r="H76" s="33"/>
      <c r="I76" s="30"/>
      <c r="J76" s="30" t="str">
        <f t="shared" ca="1" si="1"/>
        <v>Nadcházející</v>
      </c>
    </row>
    <row r="77" spans="1:10" ht="26.1" customHeight="1" x14ac:dyDescent="0.2">
      <c r="A77" s="57">
        <v>46306</v>
      </c>
      <c r="B77" s="33" t="s">
        <v>526</v>
      </c>
      <c r="C77" s="30" t="s">
        <v>16</v>
      </c>
      <c r="D77" s="30" t="s">
        <v>34</v>
      </c>
      <c r="E77" s="30" t="s">
        <v>537</v>
      </c>
      <c r="F77" s="59" t="s">
        <v>528</v>
      </c>
      <c r="G77" s="33"/>
      <c r="H77" s="33"/>
      <c r="I77" s="30"/>
      <c r="J77" s="30" t="str">
        <f t="shared" ca="1" si="1"/>
        <v>Nadcházející</v>
      </c>
    </row>
    <row r="78" spans="1:10" ht="26.1" customHeight="1" x14ac:dyDescent="0.2">
      <c r="A78" s="57">
        <v>46306</v>
      </c>
      <c r="B78" s="33" t="s">
        <v>526</v>
      </c>
      <c r="C78" s="30" t="s">
        <v>2</v>
      </c>
      <c r="D78" s="30" t="s">
        <v>26</v>
      </c>
      <c r="E78" s="30" t="s">
        <v>630</v>
      </c>
      <c r="F78" s="59" t="s">
        <v>598</v>
      </c>
      <c r="G78" s="33"/>
      <c r="H78" s="33"/>
      <c r="I78" s="30"/>
      <c r="J78" s="30" t="str">
        <f t="shared" ca="1" si="1"/>
        <v>Nadcházející</v>
      </c>
    </row>
    <row r="79" spans="1:10" ht="26.1" customHeight="1" x14ac:dyDescent="0.2">
      <c r="A79" s="57">
        <v>46306</v>
      </c>
      <c r="B79" s="33" t="s">
        <v>526</v>
      </c>
      <c r="C79" s="30" t="s">
        <v>10</v>
      </c>
      <c r="D79" s="30" t="s">
        <v>32</v>
      </c>
      <c r="E79" s="30" t="s">
        <v>631</v>
      </c>
      <c r="F79" s="59" t="s">
        <v>632</v>
      </c>
      <c r="G79" s="33"/>
      <c r="H79" s="33"/>
      <c r="I79" s="30"/>
      <c r="J79" s="30" t="str">
        <f t="shared" ca="1" si="1"/>
        <v>Nadcházející</v>
      </c>
    </row>
    <row r="80" spans="1:10" ht="26.1" customHeight="1" x14ac:dyDescent="0.2">
      <c r="A80" s="57">
        <v>46306</v>
      </c>
      <c r="B80" s="33" t="s">
        <v>526</v>
      </c>
      <c r="C80" s="30" t="s">
        <v>11</v>
      </c>
      <c r="D80" s="30" t="s">
        <v>32</v>
      </c>
      <c r="E80" s="30" t="s">
        <v>633</v>
      </c>
      <c r="F80" s="59" t="s">
        <v>632</v>
      </c>
      <c r="G80" s="33"/>
      <c r="H80" s="33"/>
      <c r="I80" s="30"/>
      <c r="J80" s="30" t="str">
        <f t="shared" ca="1" si="1"/>
        <v>Nadcházející</v>
      </c>
    </row>
    <row r="81" spans="1:10" ht="26.1" customHeight="1" x14ac:dyDescent="0.2">
      <c r="A81" s="57">
        <v>46306</v>
      </c>
      <c r="B81" s="33" t="s">
        <v>526</v>
      </c>
      <c r="C81" s="30" t="s">
        <v>12</v>
      </c>
      <c r="D81" s="30" t="s">
        <v>33</v>
      </c>
      <c r="E81" s="30" t="s">
        <v>634</v>
      </c>
      <c r="F81" s="59" t="s">
        <v>635</v>
      </c>
      <c r="G81" s="33"/>
      <c r="H81" s="33"/>
      <c r="I81" s="30"/>
      <c r="J81" s="30" t="str">
        <f t="shared" ca="1" si="1"/>
        <v>Nadcházející</v>
      </c>
    </row>
    <row r="82" spans="1:10" ht="26.1" customHeight="1" x14ac:dyDescent="0.2">
      <c r="A82" s="57">
        <v>46312</v>
      </c>
      <c r="B82" s="33" t="s">
        <v>523</v>
      </c>
      <c r="C82" s="30" t="s">
        <v>7</v>
      </c>
      <c r="D82" s="30" t="s">
        <v>30</v>
      </c>
      <c r="E82" s="30" t="s">
        <v>636</v>
      </c>
      <c r="F82" s="59" t="s">
        <v>637</v>
      </c>
      <c r="G82" s="33"/>
      <c r="H82" s="33"/>
      <c r="I82" s="30"/>
      <c r="J82" s="30" t="str">
        <f t="shared" ca="1" si="1"/>
        <v>Nadcházející</v>
      </c>
    </row>
    <row r="83" spans="1:10" ht="26.1" customHeight="1" x14ac:dyDescent="0.2">
      <c r="A83" s="57">
        <v>46312</v>
      </c>
      <c r="B83" s="33" t="s">
        <v>523</v>
      </c>
      <c r="C83" s="30" t="s">
        <v>8</v>
      </c>
      <c r="D83" s="30" t="s">
        <v>31</v>
      </c>
      <c r="E83" s="30" t="s">
        <v>638</v>
      </c>
      <c r="F83" s="59" t="s">
        <v>639</v>
      </c>
      <c r="G83" s="33"/>
      <c r="H83" s="33"/>
      <c r="I83" s="30"/>
      <c r="J83" s="30" t="str">
        <f t="shared" ca="1" si="1"/>
        <v>Nadcházející</v>
      </c>
    </row>
    <row r="84" spans="1:10" ht="26.1" customHeight="1" x14ac:dyDescent="0.2">
      <c r="A84" s="57">
        <v>46312</v>
      </c>
      <c r="B84" s="33" t="s">
        <v>523</v>
      </c>
      <c r="C84" s="30" t="s">
        <v>9</v>
      </c>
      <c r="D84" s="30" t="s">
        <v>30</v>
      </c>
      <c r="E84" s="30" t="s">
        <v>640</v>
      </c>
      <c r="F84" s="59" t="s">
        <v>641</v>
      </c>
      <c r="G84" s="33"/>
      <c r="H84" s="33"/>
      <c r="I84" s="30"/>
      <c r="J84" s="30" t="str">
        <f t="shared" ca="1" si="1"/>
        <v>Nadcházející</v>
      </c>
    </row>
    <row r="85" spans="1:10" ht="26.1" customHeight="1" x14ac:dyDescent="0.2">
      <c r="A85" s="57">
        <v>46312</v>
      </c>
      <c r="B85" s="33" t="s">
        <v>523</v>
      </c>
      <c r="C85" s="30" t="s">
        <v>19</v>
      </c>
      <c r="D85" s="30" t="s">
        <v>26</v>
      </c>
      <c r="E85" s="30" t="s">
        <v>630</v>
      </c>
      <c r="F85" s="59" t="s">
        <v>642</v>
      </c>
      <c r="G85" s="33"/>
      <c r="H85" s="33"/>
      <c r="I85" s="30"/>
      <c r="J85" s="30" t="str">
        <f t="shared" ca="1" si="1"/>
        <v>Nadcházející</v>
      </c>
    </row>
    <row r="86" spans="1:10" ht="26.1" customHeight="1" x14ac:dyDescent="0.2">
      <c r="A86" s="57">
        <v>46312</v>
      </c>
      <c r="B86" s="33" t="s">
        <v>523</v>
      </c>
      <c r="C86" s="30" t="s">
        <v>17</v>
      </c>
      <c r="D86" s="30" t="s">
        <v>34</v>
      </c>
      <c r="E86" s="30" t="s">
        <v>570</v>
      </c>
      <c r="F86" s="59" t="s">
        <v>643</v>
      </c>
      <c r="G86" s="33"/>
      <c r="H86" s="33"/>
      <c r="I86" s="30"/>
      <c r="J86" s="30" t="str">
        <f t="shared" ca="1" si="1"/>
        <v>Nadcházející</v>
      </c>
    </row>
    <row r="87" spans="1:10" ht="26.1" customHeight="1" x14ac:dyDescent="0.2">
      <c r="A87" s="57">
        <v>46312</v>
      </c>
      <c r="B87" s="33" t="s">
        <v>523</v>
      </c>
      <c r="C87" s="30" t="s">
        <v>23</v>
      </c>
      <c r="D87" s="30" t="s">
        <v>26</v>
      </c>
      <c r="E87" s="30" t="s">
        <v>644</v>
      </c>
      <c r="F87" s="59" t="s">
        <v>645</v>
      </c>
      <c r="G87" s="33"/>
      <c r="H87" s="33"/>
      <c r="I87" s="30"/>
      <c r="J87" s="30" t="str">
        <f t="shared" ca="1" si="1"/>
        <v>Nadcházející</v>
      </c>
    </row>
    <row r="88" spans="1:10" ht="26.1" customHeight="1" x14ac:dyDescent="0.2">
      <c r="A88" s="57">
        <v>46312</v>
      </c>
      <c r="B88" s="33" t="s">
        <v>523</v>
      </c>
      <c r="C88" s="30" t="s">
        <v>21</v>
      </c>
      <c r="D88" s="30" t="s">
        <v>34</v>
      </c>
      <c r="E88" s="30" t="s">
        <v>556</v>
      </c>
      <c r="F88" s="59" t="s">
        <v>646</v>
      </c>
      <c r="G88" s="33"/>
      <c r="H88" s="33"/>
      <c r="I88" s="30"/>
      <c r="J88" s="30" t="str">
        <f t="shared" ca="1" si="1"/>
        <v>Nadcházející</v>
      </c>
    </row>
    <row r="89" spans="1:10" ht="26.1" customHeight="1" x14ac:dyDescent="0.2">
      <c r="A89" s="57">
        <v>46312</v>
      </c>
      <c r="B89" s="33" t="s">
        <v>523</v>
      </c>
      <c r="C89" s="30" t="s">
        <v>1</v>
      </c>
      <c r="D89" s="30" t="s">
        <v>25</v>
      </c>
      <c r="E89" s="30" t="s">
        <v>647</v>
      </c>
      <c r="F89" s="59" t="s">
        <v>648</v>
      </c>
      <c r="G89" s="33"/>
      <c r="H89" s="33"/>
      <c r="I89" s="30"/>
      <c r="J89" s="30" t="str">
        <f t="shared" ca="1" si="1"/>
        <v>Nadcházející</v>
      </c>
    </row>
    <row r="90" spans="1:10" ht="26.1" customHeight="1" x14ac:dyDescent="0.2">
      <c r="A90" s="57">
        <v>46312</v>
      </c>
      <c r="B90" s="33" t="s">
        <v>523</v>
      </c>
      <c r="C90" s="30" t="s">
        <v>13</v>
      </c>
      <c r="D90" s="30" t="s">
        <v>32</v>
      </c>
      <c r="E90" s="30" t="s">
        <v>649</v>
      </c>
      <c r="F90" s="59" t="s">
        <v>650</v>
      </c>
      <c r="G90" s="33"/>
      <c r="H90" s="33"/>
      <c r="I90" s="30"/>
      <c r="J90" s="30" t="str">
        <f t="shared" ca="1" si="1"/>
        <v>Nadcházející</v>
      </c>
    </row>
    <row r="91" spans="1:10" ht="26.1" customHeight="1" x14ac:dyDescent="0.2">
      <c r="A91" s="57">
        <v>46312</v>
      </c>
      <c r="B91" s="33" t="s">
        <v>523</v>
      </c>
      <c r="C91" s="30" t="s">
        <v>14</v>
      </c>
      <c r="D91" s="30" t="s">
        <v>32</v>
      </c>
      <c r="E91" s="30" t="s">
        <v>638</v>
      </c>
      <c r="F91" s="59" t="s">
        <v>651</v>
      </c>
      <c r="G91" s="33"/>
      <c r="H91" s="33"/>
      <c r="I91" s="30"/>
      <c r="J91" s="30" t="str">
        <f t="shared" ca="1" si="1"/>
        <v>Nadcházející</v>
      </c>
    </row>
    <row r="92" spans="1:10" ht="26.1" customHeight="1" x14ac:dyDescent="0.2">
      <c r="A92" s="57">
        <v>46312</v>
      </c>
      <c r="B92" s="33" t="s">
        <v>523</v>
      </c>
      <c r="C92" s="30" t="s">
        <v>15</v>
      </c>
      <c r="D92" s="30" t="s">
        <v>30</v>
      </c>
      <c r="E92" s="30" t="s">
        <v>652</v>
      </c>
      <c r="F92" s="59" t="s">
        <v>528</v>
      </c>
      <c r="G92" s="33"/>
      <c r="H92" s="33"/>
      <c r="I92" s="30"/>
      <c r="J92" s="30" t="str">
        <f t="shared" ca="1" si="1"/>
        <v>Nadcházející</v>
      </c>
    </row>
    <row r="93" spans="1:10" ht="26.1" customHeight="1" x14ac:dyDescent="0.2">
      <c r="A93" s="57">
        <v>46312</v>
      </c>
      <c r="B93" s="33" t="s">
        <v>523</v>
      </c>
      <c r="C93" s="30" t="s">
        <v>3</v>
      </c>
      <c r="D93" s="30" t="s">
        <v>27</v>
      </c>
      <c r="E93" s="30" t="s">
        <v>653</v>
      </c>
      <c r="F93" s="59" t="s">
        <v>654</v>
      </c>
      <c r="G93" s="33"/>
      <c r="H93" s="33"/>
      <c r="I93" s="30"/>
      <c r="J93" s="30" t="str">
        <f t="shared" ca="1" si="1"/>
        <v>Nadcházející</v>
      </c>
    </row>
    <row r="94" spans="1:10" ht="26.1" customHeight="1" x14ac:dyDescent="0.2">
      <c r="A94" s="57">
        <v>46312</v>
      </c>
      <c r="B94" s="33" t="s">
        <v>523</v>
      </c>
      <c r="C94" s="30" t="s">
        <v>4</v>
      </c>
      <c r="D94" s="30" t="s">
        <v>28</v>
      </c>
      <c r="E94" s="30" t="s">
        <v>655</v>
      </c>
      <c r="F94" s="59" t="s">
        <v>656</v>
      </c>
      <c r="G94" s="33"/>
      <c r="H94" s="33"/>
      <c r="I94" s="30"/>
      <c r="J94" s="30" t="str">
        <f t="shared" ca="1" si="1"/>
        <v>Nadcházející</v>
      </c>
    </row>
    <row r="95" spans="1:10" ht="26.1" customHeight="1" x14ac:dyDescent="0.2">
      <c r="A95" s="57">
        <v>46312</v>
      </c>
      <c r="B95" s="33" t="s">
        <v>523</v>
      </c>
      <c r="C95" s="30" t="s">
        <v>5</v>
      </c>
      <c r="D95" s="30" t="s">
        <v>28</v>
      </c>
      <c r="E95" s="30" t="s">
        <v>524</v>
      </c>
      <c r="F95" s="59" t="s">
        <v>612</v>
      </c>
      <c r="G95" s="33"/>
      <c r="H95" s="33"/>
      <c r="I95" s="30"/>
      <c r="J95" s="30" t="str">
        <f t="shared" ca="1" si="1"/>
        <v>Nadcházející</v>
      </c>
    </row>
    <row r="96" spans="1:10" ht="26.1" customHeight="1" x14ac:dyDescent="0.2">
      <c r="A96" s="57">
        <v>46313</v>
      </c>
      <c r="B96" s="33" t="s">
        <v>526</v>
      </c>
      <c r="C96" s="30" t="s">
        <v>7</v>
      </c>
      <c r="D96" s="30" t="s">
        <v>30</v>
      </c>
      <c r="E96" s="30" t="s">
        <v>657</v>
      </c>
      <c r="F96" s="59" t="s">
        <v>658</v>
      </c>
      <c r="G96" s="33"/>
      <c r="H96" s="33"/>
      <c r="I96" s="30"/>
      <c r="J96" s="30" t="str">
        <f t="shared" ca="1" si="1"/>
        <v>Nadcházející</v>
      </c>
    </row>
    <row r="97" spans="1:10" ht="26.1" customHeight="1" x14ac:dyDescent="0.2">
      <c r="A97" s="57">
        <v>46313</v>
      </c>
      <c r="B97" s="33" t="s">
        <v>526</v>
      </c>
      <c r="C97" s="30" t="s">
        <v>8</v>
      </c>
      <c r="D97" s="30" t="s">
        <v>31</v>
      </c>
      <c r="E97" s="30" t="s">
        <v>521</v>
      </c>
      <c r="F97" s="59" t="s">
        <v>659</v>
      </c>
      <c r="G97" s="33"/>
      <c r="H97" s="33"/>
      <c r="I97" s="30"/>
      <c r="J97" s="30" t="str">
        <f t="shared" ca="1" si="1"/>
        <v>Nadcházející</v>
      </c>
    </row>
    <row r="98" spans="1:10" ht="26.1" customHeight="1" x14ac:dyDescent="0.2">
      <c r="A98" s="57">
        <v>46313</v>
      </c>
      <c r="B98" s="33" t="s">
        <v>526</v>
      </c>
      <c r="C98" s="30" t="s">
        <v>9</v>
      </c>
      <c r="D98" s="30" t="s">
        <v>30</v>
      </c>
      <c r="E98" s="30" t="s">
        <v>556</v>
      </c>
      <c r="F98" s="59" t="s">
        <v>660</v>
      </c>
      <c r="G98" s="33"/>
      <c r="H98" s="33"/>
      <c r="I98" s="30"/>
      <c r="J98" s="30" t="str">
        <f t="shared" ca="1" si="1"/>
        <v>Nadcházející</v>
      </c>
    </row>
    <row r="99" spans="1:10" ht="26.1" customHeight="1" x14ac:dyDescent="0.2">
      <c r="A99" s="57">
        <v>46313</v>
      </c>
      <c r="B99" s="33" t="s">
        <v>526</v>
      </c>
      <c r="C99" s="30" t="s">
        <v>1</v>
      </c>
      <c r="D99" s="30" t="s">
        <v>25</v>
      </c>
      <c r="E99" s="30" t="s">
        <v>661</v>
      </c>
      <c r="F99" s="59" t="s">
        <v>662</v>
      </c>
      <c r="G99" s="33"/>
      <c r="H99" s="33"/>
      <c r="I99" s="30"/>
      <c r="J99" s="30" t="str">
        <f t="shared" ca="1" si="1"/>
        <v>Nadcházející</v>
      </c>
    </row>
    <row r="100" spans="1:10" ht="26.1" customHeight="1" x14ac:dyDescent="0.2">
      <c r="A100" s="57">
        <v>46313</v>
      </c>
      <c r="B100" s="33" t="s">
        <v>526</v>
      </c>
      <c r="C100" s="30" t="s">
        <v>13</v>
      </c>
      <c r="D100" s="30" t="s">
        <v>32</v>
      </c>
      <c r="E100" s="30" t="s">
        <v>649</v>
      </c>
      <c r="F100" s="59" t="s">
        <v>663</v>
      </c>
      <c r="G100" s="33"/>
      <c r="H100" s="33"/>
      <c r="I100" s="30"/>
      <c r="J100" s="30" t="str">
        <f t="shared" ca="1" si="1"/>
        <v>Nadcházející</v>
      </c>
    </row>
    <row r="101" spans="1:10" ht="26.1" customHeight="1" x14ac:dyDescent="0.2">
      <c r="A101" s="57">
        <v>46313</v>
      </c>
      <c r="B101" s="33" t="s">
        <v>526</v>
      </c>
      <c r="C101" s="30" t="s">
        <v>15</v>
      </c>
      <c r="D101" s="30" t="s">
        <v>30</v>
      </c>
      <c r="E101" s="30" t="s">
        <v>664</v>
      </c>
      <c r="F101" s="59" t="s">
        <v>625</v>
      </c>
      <c r="G101" s="33"/>
      <c r="H101" s="33"/>
      <c r="I101" s="30"/>
      <c r="J101" s="30" t="str">
        <f t="shared" ca="1" si="1"/>
        <v>Nadcházející</v>
      </c>
    </row>
    <row r="102" spans="1:10" ht="26.1" customHeight="1" x14ac:dyDescent="0.2">
      <c r="A102" s="57">
        <v>46313</v>
      </c>
      <c r="B102" s="33" t="s">
        <v>526</v>
      </c>
      <c r="C102" s="30" t="s">
        <v>3</v>
      </c>
      <c r="D102" s="30" t="s">
        <v>27</v>
      </c>
      <c r="E102" s="30" t="s">
        <v>665</v>
      </c>
      <c r="F102" s="59" t="s">
        <v>666</v>
      </c>
      <c r="G102" s="33"/>
      <c r="H102" s="33"/>
      <c r="I102" s="30"/>
      <c r="J102" s="30" t="str">
        <f t="shared" ca="1" si="1"/>
        <v>Nadcházející</v>
      </c>
    </row>
    <row r="103" spans="1:10" ht="26.1" customHeight="1" x14ac:dyDescent="0.2">
      <c r="A103" s="57">
        <v>46313</v>
      </c>
      <c r="B103" s="33" t="s">
        <v>526</v>
      </c>
      <c r="C103" s="30" t="s">
        <v>4</v>
      </c>
      <c r="D103" s="30" t="s">
        <v>28</v>
      </c>
      <c r="E103" s="30" t="s">
        <v>524</v>
      </c>
      <c r="F103" s="59" t="s">
        <v>632</v>
      </c>
      <c r="G103" s="33"/>
      <c r="H103" s="33"/>
      <c r="I103" s="30"/>
      <c r="J103" s="30" t="str">
        <f t="shared" ca="1" si="1"/>
        <v>Nadcházející</v>
      </c>
    </row>
    <row r="104" spans="1:10" ht="26.1" customHeight="1" x14ac:dyDescent="0.2">
      <c r="A104" s="57">
        <v>46313</v>
      </c>
      <c r="B104" s="33" t="s">
        <v>526</v>
      </c>
      <c r="C104" s="30" t="s">
        <v>5</v>
      </c>
      <c r="D104" s="30" t="s">
        <v>28</v>
      </c>
      <c r="E104" s="30" t="s">
        <v>655</v>
      </c>
      <c r="F104" s="59" t="s">
        <v>667</v>
      </c>
      <c r="G104" s="33"/>
      <c r="H104" s="33"/>
      <c r="I104" s="30"/>
      <c r="J104" s="30" t="str">
        <f t="shared" ca="1" si="1"/>
        <v>Nadcházející</v>
      </c>
    </row>
    <row r="105" spans="1:10" ht="26.1" customHeight="1" x14ac:dyDescent="0.2">
      <c r="A105" s="57">
        <v>46319</v>
      </c>
      <c r="B105" s="33" t="s">
        <v>523</v>
      </c>
      <c r="C105" s="30" t="s">
        <v>6</v>
      </c>
      <c r="D105" s="30" t="s">
        <v>29</v>
      </c>
      <c r="E105" s="30" t="s">
        <v>668</v>
      </c>
      <c r="F105" s="59" t="s">
        <v>669</v>
      </c>
      <c r="G105" s="33"/>
      <c r="H105" s="33"/>
      <c r="I105" s="30"/>
      <c r="J105" s="30" t="str">
        <f t="shared" ca="1" si="1"/>
        <v>Nadcházející</v>
      </c>
    </row>
    <row r="106" spans="1:10" ht="26.1" customHeight="1" x14ac:dyDescent="0.2">
      <c r="A106" s="57">
        <v>46319</v>
      </c>
      <c r="B106" s="33" t="s">
        <v>523</v>
      </c>
      <c r="C106" s="30" t="s">
        <v>18</v>
      </c>
      <c r="D106" s="30" t="s">
        <v>34</v>
      </c>
      <c r="E106" s="30" t="s">
        <v>670</v>
      </c>
      <c r="F106" s="59" t="s">
        <v>671</v>
      </c>
      <c r="G106" s="33"/>
      <c r="H106" s="33"/>
      <c r="I106" s="30"/>
      <c r="J106" s="30" t="str">
        <f t="shared" ca="1" si="1"/>
        <v>Nadcházející</v>
      </c>
    </row>
    <row r="107" spans="1:10" ht="26.1" customHeight="1" x14ac:dyDescent="0.2">
      <c r="A107" s="57">
        <v>46319</v>
      </c>
      <c r="B107" s="33" t="s">
        <v>523</v>
      </c>
      <c r="C107" s="30" t="s">
        <v>22</v>
      </c>
      <c r="D107" s="30" t="s">
        <v>34</v>
      </c>
      <c r="E107" s="30" t="s">
        <v>672</v>
      </c>
      <c r="F107" s="59" t="s">
        <v>673</v>
      </c>
      <c r="G107" s="33"/>
      <c r="H107" s="33"/>
      <c r="I107" s="30"/>
      <c r="J107" s="30" t="str">
        <f t="shared" ca="1" si="1"/>
        <v>Nadcházející</v>
      </c>
    </row>
    <row r="108" spans="1:10" ht="26.1" customHeight="1" x14ac:dyDescent="0.2">
      <c r="A108" s="57">
        <v>46319</v>
      </c>
      <c r="B108" s="33" t="s">
        <v>523</v>
      </c>
      <c r="C108" s="30" t="s">
        <v>20</v>
      </c>
      <c r="D108" s="30" t="s">
        <v>34</v>
      </c>
      <c r="E108" s="30" t="s">
        <v>617</v>
      </c>
      <c r="F108" s="59" t="s">
        <v>674</v>
      </c>
      <c r="G108" s="33"/>
      <c r="H108" s="33"/>
      <c r="I108" s="30"/>
      <c r="J108" s="30" t="str">
        <f t="shared" ca="1" si="1"/>
        <v>Nadcházející</v>
      </c>
    </row>
    <row r="109" spans="1:10" ht="26.1" customHeight="1" x14ac:dyDescent="0.2">
      <c r="A109" s="57">
        <v>46319</v>
      </c>
      <c r="B109" s="33" t="s">
        <v>523</v>
      </c>
      <c r="C109" s="30" t="s">
        <v>2</v>
      </c>
      <c r="D109" s="30" t="s">
        <v>26</v>
      </c>
      <c r="E109" s="30" t="s">
        <v>675</v>
      </c>
      <c r="F109" s="59" t="s">
        <v>626</v>
      </c>
      <c r="G109" s="33"/>
      <c r="H109" s="33"/>
      <c r="I109" s="30"/>
      <c r="J109" s="30" t="str">
        <f t="shared" ca="1" si="1"/>
        <v>Nadcházející</v>
      </c>
    </row>
    <row r="110" spans="1:10" ht="26.1" customHeight="1" x14ac:dyDescent="0.2">
      <c r="A110" s="57">
        <v>46319</v>
      </c>
      <c r="B110" s="33" t="s">
        <v>523</v>
      </c>
      <c r="C110" s="30" t="s">
        <v>10</v>
      </c>
      <c r="D110" s="30" t="s">
        <v>32</v>
      </c>
      <c r="E110" s="30" t="s">
        <v>676</v>
      </c>
      <c r="F110" s="59" t="s">
        <v>667</v>
      </c>
      <c r="G110" s="33"/>
      <c r="H110" s="33"/>
      <c r="I110" s="30"/>
      <c r="J110" s="30" t="str">
        <f t="shared" ca="1" si="1"/>
        <v>Nadcházející</v>
      </c>
    </row>
    <row r="111" spans="1:10" ht="26.1" customHeight="1" x14ac:dyDescent="0.2">
      <c r="A111" s="57">
        <v>46319</v>
      </c>
      <c r="B111" s="33" t="s">
        <v>523</v>
      </c>
      <c r="C111" s="30" t="s">
        <v>11</v>
      </c>
      <c r="D111" s="30" t="s">
        <v>32</v>
      </c>
      <c r="E111" s="30" t="s">
        <v>677</v>
      </c>
      <c r="F111" s="59" t="s">
        <v>678</v>
      </c>
      <c r="G111" s="33"/>
      <c r="H111" s="33"/>
      <c r="I111" s="30"/>
      <c r="J111" s="30" t="str">
        <f t="shared" ca="1" si="1"/>
        <v>Nadcházející</v>
      </c>
    </row>
    <row r="112" spans="1:10" ht="26.1" customHeight="1" x14ac:dyDescent="0.2">
      <c r="A112" s="57">
        <v>46319</v>
      </c>
      <c r="B112" s="33" t="s">
        <v>523</v>
      </c>
      <c r="C112" s="30" t="s">
        <v>12</v>
      </c>
      <c r="D112" s="30" t="s">
        <v>33</v>
      </c>
      <c r="E112" s="30" t="s">
        <v>548</v>
      </c>
      <c r="F112" s="59" t="s">
        <v>679</v>
      </c>
      <c r="G112" s="33"/>
      <c r="H112" s="33"/>
      <c r="I112" s="30"/>
      <c r="J112" s="30" t="str">
        <f t="shared" ca="1" si="1"/>
        <v>Nadcházející</v>
      </c>
    </row>
    <row r="113" spans="1:10" ht="26.1" customHeight="1" x14ac:dyDescent="0.2">
      <c r="A113" s="57">
        <v>46320</v>
      </c>
      <c r="B113" s="33" t="s">
        <v>526</v>
      </c>
      <c r="C113" s="30" t="s">
        <v>6</v>
      </c>
      <c r="D113" s="30" t="s">
        <v>29</v>
      </c>
      <c r="E113" s="30" t="s">
        <v>680</v>
      </c>
      <c r="F113" s="59" t="s">
        <v>681</v>
      </c>
      <c r="G113" s="33"/>
      <c r="H113" s="33"/>
      <c r="I113" s="30"/>
      <c r="J113" s="30" t="str">
        <f t="shared" ca="1" si="1"/>
        <v>Nadcházející</v>
      </c>
    </row>
    <row r="114" spans="1:10" ht="26.1" customHeight="1" x14ac:dyDescent="0.2">
      <c r="A114" s="57">
        <v>46320</v>
      </c>
      <c r="B114" s="33" t="s">
        <v>526</v>
      </c>
      <c r="C114" s="30" t="s">
        <v>16</v>
      </c>
      <c r="D114" s="30" t="s">
        <v>34</v>
      </c>
      <c r="E114" s="30" t="s">
        <v>630</v>
      </c>
      <c r="F114" s="59" t="s">
        <v>626</v>
      </c>
      <c r="G114" s="33"/>
      <c r="H114" s="33"/>
      <c r="I114" s="30"/>
      <c r="J114" s="30" t="str">
        <f t="shared" ca="1" si="1"/>
        <v>Nadcházející</v>
      </c>
    </row>
    <row r="115" spans="1:10" ht="26.1" customHeight="1" x14ac:dyDescent="0.2">
      <c r="A115" s="57">
        <v>46320</v>
      </c>
      <c r="B115" s="33" t="s">
        <v>526</v>
      </c>
      <c r="C115" s="30" t="s">
        <v>20</v>
      </c>
      <c r="D115" s="30" t="s">
        <v>34</v>
      </c>
      <c r="E115" s="30" t="s">
        <v>682</v>
      </c>
      <c r="F115" s="59" t="s">
        <v>683</v>
      </c>
      <c r="G115" s="33"/>
      <c r="H115" s="33"/>
      <c r="I115" s="30"/>
      <c r="J115" s="30" t="str">
        <f t="shared" ca="1" si="1"/>
        <v>Nadcházející</v>
      </c>
    </row>
    <row r="116" spans="1:10" ht="26.1" customHeight="1" x14ac:dyDescent="0.2">
      <c r="A116" s="57">
        <v>46320</v>
      </c>
      <c r="B116" s="33" t="s">
        <v>526</v>
      </c>
      <c r="C116" s="30" t="s">
        <v>2</v>
      </c>
      <c r="D116" s="30" t="s">
        <v>26</v>
      </c>
      <c r="E116" s="30" t="s">
        <v>684</v>
      </c>
      <c r="F116" s="59" t="s">
        <v>632</v>
      </c>
      <c r="G116" s="33"/>
      <c r="H116" s="33"/>
      <c r="I116" s="30"/>
      <c r="J116" s="30" t="str">
        <f t="shared" ca="1" si="1"/>
        <v>Nadcházející</v>
      </c>
    </row>
    <row r="117" spans="1:10" ht="26.1" customHeight="1" x14ac:dyDescent="0.2">
      <c r="A117" s="57">
        <v>46320</v>
      </c>
      <c r="B117" s="33" t="s">
        <v>526</v>
      </c>
      <c r="C117" s="30" t="s">
        <v>10</v>
      </c>
      <c r="D117" s="30" t="s">
        <v>32</v>
      </c>
      <c r="E117" s="30" t="s">
        <v>685</v>
      </c>
      <c r="F117" s="59" t="s">
        <v>666</v>
      </c>
      <c r="G117" s="33"/>
      <c r="H117" s="33"/>
      <c r="I117" s="30"/>
      <c r="J117" s="30" t="str">
        <f t="shared" ca="1" si="1"/>
        <v>Nadcházející</v>
      </c>
    </row>
    <row r="118" spans="1:10" ht="26.1" customHeight="1" x14ac:dyDescent="0.2">
      <c r="A118" s="57">
        <v>46320</v>
      </c>
      <c r="B118" s="33" t="s">
        <v>526</v>
      </c>
      <c r="C118" s="30" t="s">
        <v>11</v>
      </c>
      <c r="D118" s="30" t="s">
        <v>32</v>
      </c>
      <c r="E118" s="30" t="s">
        <v>653</v>
      </c>
      <c r="F118" s="59" t="s">
        <v>686</v>
      </c>
      <c r="G118" s="33"/>
      <c r="H118" s="33"/>
      <c r="I118" s="30"/>
      <c r="J118" s="30" t="str">
        <f t="shared" ca="1" si="1"/>
        <v>Nadcházející</v>
      </c>
    </row>
    <row r="119" spans="1:10" ht="26.1" customHeight="1" x14ac:dyDescent="0.2">
      <c r="A119" s="57">
        <v>46333</v>
      </c>
      <c r="B119" s="33" t="s">
        <v>523</v>
      </c>
      <c r="C119" s="30" t="s">
        <v>7</v>
      </c>
      <c r="D119" s="30" t="s">
        <v>30</v>
      </c>
      <c r="E119" s="30" t="s">
        <v>687</v>
      </c>
      <c r="F119" s="59" t="s">
        <v>688</v>
      </c>
      <c r="G119" s="33"/>
      <c r="H119" s="33"/>
      <c r="I119" s="30"/>
      <c r="J119" s="30" t="str">
        <f t="shared" ca="1" si="1"/>
        <v>Nadcházející</v>
      </c>
    </row>
    <row r="120" spans="1:10" ht="26.1" customHeight="1" x14ac:dyDescent="0.2">
      <c r="A120" s="57">
        <v>46333</v>
      </c>
      <c r="B120" s="33" t="s">
        <v>523</v>
      </c>
      <c r="C120" s="30" t="s">
        <v>8</v>
      </c>
      <c r="D120" s="30" t="s">
        <v>31</v>
      </c>
      <c r="E120" s="30" t="s">
        <v>574</v>
      </c>
      <c r="F120" s="59" t="s">
        <v>689</v>
      </c>
      <c r="G120" s="33"/>
      <c r="H120" s="33"/>
      <c r="I120" s="30"/>
      <c r="J120" s="30" t="str">
        <f t="shared" ca="1" si="1"/>
        <v>Nadcházející</v>
      </c>
    </row>
    <row r="121" spans="1:10" ht="26.1" customHeight="1" x14ac:dyDescent="0.2">
      <c r="A121" s="57">
        <v>46333</v>
      </c>
      <c r="B121" s="33" t="s">
        <v>523</v>
      </c>
      <c r="C121" s="30" t="s">
        <v>9</v>
      </c>
      <c r="D121" s="30" t="s">
        <v>30</v>
      </c>
      <c r="E121" s="30" t="s">
        <v>690</v>
      </c>
      <c r="F121" s="59" t="s">
        <v>691</v>
      </c>
      <c r="G121" s="33"/>
      <c r="H121" s="33"/>
      <c r="I121" s="30"/>
      <c r="J121" s="30" t="str">
        <f t="shared" ca="1" si="1"/>
        <v>Nadcházející</v>
      </c>
    </row>
    <row r="122" spans="1:10" ht="26.1" customHeight="1" x14ac:dyDescent="0.2">
      <c r="A122" s="57">
        <v>46333</v>
      </c>
      <c r="B122" s="33" t="s">
        <v>523</v>
      </c>
      <c r="C122" s="30" t="s">
        <v>19</v>
      </c>
      <c r="D122" s="30" t="s">
        <v>26</v>
      </c>
      <c r="E122" s="30" t="s">
        <v>556</v>
      </c>
      <c r="F122" s="59" t="s">
        <v>692</v>
      </c>
      <c r="G122" s="33"/>
      <c r="H122" s="33"/>
      <c r="I122" s="30"/>
      <c r="J122" s="30" t="str">
        <f t="shared" ca="1" si="1"/>
        <v>Nadcházející</v>
      </c>
    </row>
    <row r="123" spans="1:10" ht="26.1" customHeight="1" x14ac:dyDescent="0.2">
      <c r="A123" s="57">
        <v>46333</v>
      </c>
      <c r="B123" s="33" t="s">
        <v>523</v>
      </c>
      <c r="C123" s="30" t="s">
        <v>17</v>
      </c>
      <c r="D123" s="30" t="s">
        <v>34</v>
      </c>
      <c r="E123" s="30" t="s">
        <v>693</v>
      </c>
      <c r="F123" s="59" t="s">
        <v>694</v>
      </c>
      <c r="G123" s="33"/>
      <c r="H123" s="33"/>
      <c r="I123" s="30"/>
      <c r="J123" s="30" t="str">
        <f t="shared" ca="1" si="1"/>
        <v>Nadcházející</v>
      </c>
    </row>
    <row r="124" spans="1:10" ht="26.1" customHeight="1" x14ac:dyDescent="0.2">
      <c r="A124" s="57">
        <v>46333</v>
      </c>
      <c r="B124" s="33" t="s">
        <v>523</v>
      </c>
      <c r="C124" s="30" t="s">
        <v>21</v>
      </c>
      <c r="D124" s="30" t="s">
        <v>34</v>
      </c>
      <c r="E124" s="30" t="s">
        <v>521</v>
      </c>
      <c r="F124" s="59" t="s">
        <v>695</v>
      </c>
      <c r="G124" s="33"/>
      <c r="H124" s="33"/>
      <c r="I124" s="30"/>
      <c r="J124" s="30" t="str">
        <f t="shared" ca="1" si="1"/>
        <v>Nadcházející</v>
      </c>
    </row>
    <row r="125" spans="1:10" ht="26.1" customHeight="1" x14ac:dyDescent="0.2">
      <c r="A125" s="57">
        <v>46333</v>
      </c>
      <c r="B125" s="33" t="s">
        <v>523</v>
      </c>
      <c r="C125" s="30" t="s">
        <v>13</v>
      </c>
      <c r="D125" s="30" t="s">
        <v>32</v>
      </c>
      <c r="E125" s="30" t="s">
        <v>529</v>
      </c>
      <c r="F125" s="59" t="s">
        <v>696</v>
      </c>
      <c r="G125" s="33"/>
      <c r="H125" s="33"/>
      <c r="I125" s="30"/>
      <c r="J125" s="30" t="str">
        <f t="shared" ca="1" si="1"/>
        <v>Nadcházející</v>
      </c>
    </row>
    <row r="126" spans="1:10" ht="26.1" customHeight="1" x14ac:dyDescent="0.2">
      <c r="A126" s="57">
        <v>46333</v>
      </c>
      <c r="B126" s="33" t="s">
        <v>523</v>
      </c>
      <c r="C126" s="30" t="s">
        <v>14</v>
      </c>
      <c r="D126" s="30" t="s">
        <v>32</v>
      </c>
      <c r="E126" s="30" t="s">
        <v>180</v>
      </c>
      <c r="F126" s="59"/>
      <c r="G126" s="33"/>
      <c r="H126" s="33"/>
      <c r="I126" s="30"/>
      <c r="J126" s="30" t="str">
        <f t="shared" ca="1" si="1"/>
        <v>Nadcházející</v>
      </c>
    </row>
    <row r="127" spans="1:10" ht="26.1" customHeight="1" x14ac:dyDescent="0.2">
      <c r="A127" s="57">
        <v>46333</v>
      </c>
      <c r="B127" s="33" t="s">
        <v>523</v>
      </c>
      <c r="C127" s="30" t="s">
        <v>15</v>
      </c>
      <c r="D127" s="30" t="s">
        <v>30</v>
      </c>
      <c r="E127" s="30" t="s">
        <v>697</v>
      </c>
      <c r="F127" s="59" t="s">
        <v>626</v>
      </c>
      <c r="G127" s="33"/>
      <c r="H127" s="33"/>
      <c r="I127" s="30"/>
      <c r="J127" s="30" t="str">
        <f t="shared" ca="1" si="1"/>
        <v>Nadcházející</v>
      </c>
    </row>
    <row r="128" spans="1:10" ht="26.1" customHeight="1" x14ac:dyDescent="0.2">
      <c r="A128" s="57">
        <v>46333</v>
      </c>
      <c r="B128" s="33" t="s">
        <v>523</v>
      </c>
      <c r="C128" s="30" t="s">
        <v>3</v>
      </c>
      <c r="D128" s="30" t="s">
        <v>27</v>
      </c>
      <c r="E128" s="30" t="s">
        <v>610</v>
      </c>
      <c r="F128" s="59" t="s">
        <v>540</v>
      </c>
      <c r="G128" s="33"/>
      <c r="H128" s="33"/>
      <c r="I128" s="30"/>
      <c r="J128" s="30" t="str">
        <f t="shared" ca="1" si="1"/>
        <v>Nadcházející</v>
      </c>
    </row>
    <row r="129" spans="1:10" ht="26.1" customHeight="1" x14ac:dyDescent="0.2">
      <c r="A129" s="57">
        <v>46333</v>
      </c>
      <c r="B129" s="33" t="s">
        <v>523</v>
      </c>
      <c r="C129" s="30" t="s">
        <v>4</v>
      </c>
      <c r="D129" s="30" t="s">
        <v>28</v>
      </c>
      <c r="E129" s="30" t="s">
        <v>556</v>
      </c>
      <c r="F129" s="59" t="s">
        <v>666</v>
      </c>
      <c r="G129" s="33"/>
      <c r="H129" s="33"/>
      <c r="I129" s="30"/>
      <c r="J129" s="30" t="str">
        <f t="shared" ca="1" si="1"/>
        <v>Nadcházející</v>
      </c>
    </row>
    <row r="130" spans="1:10" ht="26.1" customHeight="1" x14ac:dyDescent="0.2">
      <c r="A130" s="57">
        <v>46333</v>
      </c>
      <c r="B130" s="33" t="s">
        <v>523</v>
      </c>
      <c r="C130" s="30" t="s">
        <v>5</v>
      </c>
      <c r="D130" s="30" t="s">
        <v>28</v>
      </c>
      <c r="E130" s="30" t="s">
        <v>698</v>
      </c>
      <c r="F130" s="59" t="s">
        <v>584</v>
      </c>
      <c r="G130" s="33"/>
      <c r="H130" s="33"/>
      <c r="I130" s="30"/>
      <c r="J130" s="30" t="str">
        <f t="shared" ca="1" si="1"/>
        <v>Nadcházející</v>
      </c>
    </row>
    <row r="131" spans="1:10" ht="26.1" customHeight="1" x14ac:dyDescent="0.2">
      <c r="A131" s="57">
        <v>46334</v>
      </c>
      <c r="B131" s="33" t="s">
        <v>526</v>
      </c>
      <c r="C131" s="30" t="s">
        <v>7</v>
      </c>
      <c r="D131" s="30" t="s">
        <v>30</v>
      </c>
      <c r="E131" s="30" t="s">
        <v>699</v>
      </c>
      <c r="F131" s="59" t="s">
        <v>700</v>
      </c>
      <c r="G131" s="33"/>
      <c r="H131" s="33"/>
      <c r="I131" s="30"/>
      <c r="J131" s="30" t="str">
        <f t="shared" ca="1" si="1"/>
        <v>Nadcházející</v>
      </c>
    </row>
    <row r="132" spans="1:10" ht="26.1" customHeight="1" x14ac:dyDescent="0.2">
      <c r="A132" s="57">
        <v>46334</v>
      </c>
      <c r="B132" s="33" t="s">
        <v>526</v>
      </c>
      <c r="C132" s="30" t="s">
        <v>8</v>
      </c>
      <c r="D132" s="30" t="s">
        <v>31</v>
      </c>
      <c r="E132" s="30" t="s">
        <v>574</v>
      </c>
      <c r="F132" s="59" t="s">
        <v>701</v>
      </c>
      <c r="G132" s="33"/>
      <c r="H132" s="33"/>
      <c r="I132" s="30"/>
      <c r="J132" s="30" t="str">
        <f t="shared" ca="1" si="1"/>
        <v>Nadcházející</v>
      </c>
    </row>
    <row r="133" spans="1:10" ht="26.1" customHeight="1" x14ac:dyDescent="0.2">
      <c r="A133" s="57">
        <v>46334</v>
      </c>
      <c r="B133" s="33" t="s">
        <v>526</v>
      </c>
      <c r="C133" s="30" t="s">
        <v>9</v>
      </c>
      <c r="D133" s="30" t="s">
        <v>30</v>
      </c>
      <c r="E133" s="30" t="s">
        <v>702</v>
      </c>
      <c r="F133" s="59" t="s">
        <v>703</v>
      </c>
      <c r="G133" s="33"/>
      <c r="H133" s="33"/>
      <c r="I133" s="30"/>
      <c r="J133" s="30" t="str">
        <f t="shared" ref="J133:J196" ca="1" si="2">IF(A133&lt;TODAY(),"Odehráno",IF(A133=TODAY(),"Dnes","Nadcházející"))</f>
        <v>Nadcházející</v>
      </c>
    </row>
    <row r="134" spans="1:10" ht="26.1" customHeight="1" x14ac:dyDescent="0.2">
      <c r="A134" s="57">
        <v>46334</v>
      </c>
      <c r="B134" s="33" t="s">
        <v>526</v>
      </c>
      <c r="C134" s="30" t="s">
        <v>14</v>
      </c>
      <c r="D134" s="30" t="s">
        <v>32</v>
      </c>
      <c r="E134" s="30" t="s">
        <v>543</v>
      </c>
      <c r="F134" s="59" t="s">
        <v>704</v>
      </c>
      <c r="G134" s="33"/>
      <c r="H134" s="33"/>
      <c r="I134" s="30"/>
      <c r="J134" s="30" t="str">
        <f t="shared" ca="1" si="2"/>
        <v>Nadcházející</v>
      </c>
    </row>
    <row r="135" spans="1:10" ht="26.1" customHeight="1" x14ac:dyDescent="0.2">
      <c r="A135" s="57">
        <v>46334</v>
      </c>
      <c r="B135" s="33" t="s">
        <v>526</v>
      </c>
      <c r="C135" s="30" t="s">
        <v>15</v>
      </c>
      <c r="D135" s="30" t="s">
        <v>30</v>
      </c>
      <c r="E135" s="30" t="s">
        <v>563</v>
      </c>
      <c r="F135" s="59" t="s">
        <v>580</v>
      </c>
      <c r="G135" s="33"/>
      <c r="H135" s="33"/>
      <c r="I135" s="30"/>
      <c r="J135" s="30" t="str">
        <f t="shared" ca="1" si="2"/>
        <v>Nadcházející</v>
      </c>
    </row>
    <row r="136" spans="1:10" ht="26.1" customHeight="1" x14ac:dyDescent="0.2">
      <c r="A136" s="57">
        <v>46334</v>
      </c>
      <c r="B136" s="33" t="s">
        <v>526</v>
      </c>
      <c r="C136" s="30" t="s">
        <v>3</v>
      </c>
      <c r="D136" s="30" t="s">
        <v>27</v>
      </c>
      <c r="E136" s="30" t="s">
        <v>610</v>
      </c>
      <c r="F136" s="59" t="s">
        <v>577</v>
      </c>
      <c r="G136" s="33"/>
      <c r="H136" s="33"/>
      <c r="I136" s="30"/>
      <c r="J136" s="30" t="str">
        <f t="shared" ca="1" si="2"/>
        <v>Nadcházející</v>
      </c>
    </row>
    <row r="137" spans="1:10" ht="26.1" customHeight="1" x14ac:dyDescent="0.2">
      <c r="A137" s="57">
        <v>46334</v>
      </c>
      <c r="B137" s="33" t="s">
        <v>526</v>
      </c>
      <c r="C137" s="30" t="s">
        <v>4</v>
      </c>
      <c r="D137" s="30" t="s">
        <v>28</v>
      </c>
      <c r="E137" s="30" t="s">
        <v>698</v>
      </c>
      <c r="F137" s="59" t="s">
        <v>705</v>
      </c>
      <c r="G137" s="33"/>
      <c r="H137" s="33"/>
      <c r="I137" s="30"/>
      <c r="J137" s="30" t="str">
        <f t="shared" ca="1" si="2"/>
        <v>Nadcházející</v>
      </c>
    </row>
    <row r="138" spans="1:10" ht="26.1" customHeight="1" x14ac:dyDescent="0.2">
      <c r="A138" s="57">
        <v>46334</v>
      </c>
      <c r="B138" s="33" t="s">
        <v>526</v>
      </c>
      <c r="C138" s="30" t="s">
        <v>5</v>
      </c>
      <c r="D138" s="30" t="s">
        <v>28</v>
      </c>
      <c r="E138" s="30" t="s">
        <v>556</v>
      </c>
      <c r="F138" s="59" t="s">
        <v>648</v>
      </c>
      <c r="G138" s="33"/>
      <c r="H138" s="33"/>
      <c r="I138" s="30"/>
      <c r="J138" s="30" t="str">
        <f t="shared" ca="1" si="2"/>
        <v>Nadcházející</v>
      </c>
    </row>
    <row r="139" spans="1:10" ht="26.1" customHeight="1" x14ac:dyDescent="0.2">
      <c r="A139" s="57">
        <v>46340</v>
      </c>
      <c r="B139" s="33" t="s">
        <v>523</v>
      </c>
      <c r="C139" s="30" t="s">
        <v>6</v>
      </c>
      <c r="D139" s="30" t="s">
        <v>29</v>
      </c>
      <c r="E139" s="30" t="s">
        <v>706</v>
      </c>
      <c r="F139" s="59" t="s">
        <v>707</v>
      </c>
      <c r="G139" s="33"/>
      <c r="H139" s="33"/>
      <c r="I139" s="30"/>
      <c r="J139" s="30" t="str">
        <f t="shared" ca="1" si="2"/>
        <v>Nadcházející</v>
      </c>
    </row>
    <row r="140" spans="1:10" ht="26.1" customHeight="1" x14ac:dyDescent="0.2">
      <c r="A140" s="57">
        <v>46340</v>
      </c>
      <c r="B140" s="33" t="s">
        <v>523</v>
      </c>
      <c r="C140" s="30" t="s">
        <v>18</v>
      </c>
      <c r="D140" s="30" t="s">
        <v>34</v>
      </c>
      <c r="E140" s="30" t="s">
        <v>558</v>
      </c>
      <c r="F140" s="59" t="s">
        <v>708</v>
      </c>
      <c r="G140" s="33"/>
      <c r="H140" s="33"/>
      <c r="I140" s="30"/>
      <c r="J140" s="30" t="str">
        <f t="shared" ca="1" si="2"/>
        <v>Nadcházející</v>
      </c>
    </row>
    <row r="141" spans="1:10" ht="26.1" customHeight="1" x14ac:dyDescent="0.2">
      <c r="A141" s="57">
        <v>46340</v>
      </c>
      <c r="B141" s="33" t="s">
        <v>523</v>
      </c>
      <c r="C141" s="30" t="s">
        <v>16</v>
      </c>
      <c r="D141" s="30" t="s">
        <v>34</v>
      </c>
      <c r="E141" s="30" t="s">
        <v>634</v>
      </c>
      <c r="F141" s="59" t="s">
        <v>667</v>
      </c>
      <c r="G141" s="33"/>
      <c r="H141" s="33"/>
      <c r="I141" s="30"/>
      <c r="J141" s="30" t="str">
        <f t="shared" ca="1" si="2"/>
        <v>Nadcházející</v>
      </c>
    </row>
    <row r="142" spans="1:10" ht="26.1" customHeight="1" x14ac:dyDescent="0.2">
      <c r="A142" s="57">
        <v>46340</v>
      </c>
      <c r="B142" s="33" t="s">
        <v>523</v>
      </c>
      <c r="C142" s="30" t="s">
        <v>22</v>
      </c>
      <c r="D142" s="30" t="s">
        <v>34</v>
      </c>
      <c r="E142" s="30" t="s">
        <v>554</v>
      </c>
      <c r="F142" s="59" t="s">
        <v>709</v>
      </c>
      <c r="G142" s="33"/>
      <c r="H142" s="33"/>
      <c r="I142" s="30"/>
      <c r="J142" s="30" t="str">
        <f t="shared" ca="1" si="2"/>
        <v>Nadcházející</v>
      </c>
    </row>
    <row r="143" spans="1:10" ht="26.1" customHeight="1" x14ac:dyDescent="0.2">
      <c r="A143" s="57">
        <v>46340</v>
      </c>
      <c r="B143" s="33" t="s">
        <v>523</v>
      </c>
      <c r="C143" s="30" t="s">
        <v>20</v>
      </c>
      <c r="D143" s="30" t="s">
        <v>34</v>
      </c>
      <c r="E143" s="30" t="s">
        <v>558</v>
      </c>
      <c r="F143" s="59" t="s">
        <v>710</v>
      </c>
      <c r="G143" s="33"/>
      <c r="H143" s="33"/>
      <c r="I143" s="30"/>
      <c r="J143" s="30" t="str">
        <f t="shared" ca="1" si="2"/>
        <v>Nadcházející</v>
      </c>
    </row>
    <row r="144" spans="1:10" ht="26.1" customHeight="1" x14ac:dyDescent="0.2">
      <c r="A144" s="57">
        <v>46340</v>
      </c>
      <c r="B144" s="33" t="s">
        <v>523</v>
      </c>
      <c r="C144" s="30" t="s">
        <v>2</v>
      </c>
      <c r="D144" s="30" t="s">
        <v>26</v>
      </c>
      <c r="E144" s="30" t="s">
        <v>711</v>
      </c>
      <c r="F144" s="59" t="s">
        <v>654</v>
      </c>
      <c r="G144" s="33"/>
      <c r="H144" s="33"/>
      <c r="I144" s="30"/>
      <c r="J144" s="30" t="str">
        <f t="shared" ca="1" si="2"/>
        <v>Nadcházející</v>
      </c>
    </row>
    <row r="145" spans="1:10" ht="26.1" customHeight="1" x14ac:dyDescent="0.2">
      <c r="A145" s="57">
        <v>46340</v>
      </c>
      <c r="B145" s="33" t="s">
        <v>523</v>
      </c>
      <c r="C145" s="30" t="s">
        <v>10</v>
      </c>
      <c r="D145" s="30" t="s">
        <v>32</v>
      </c>
      <c r="E145" s="30" t="s">
        <v>649</v>
      </c>
      <c r="F145" s="59" t="s">
        <v>546</v>
      </c>
      <c r="G145" s="33"/>
      <c r="H145" s="33"/>
      <c r="I145" s="30"/>
      <c r="J145" s="30" t="str">
        <f t="shared" ca="1" si="2"/>
        <v>Nadcházející</v>
      </c>
    </row>
    <row r="146" spans="1:10" ht="26.1" customHeight="1" x14ac:dyDescent="0.2">
      <c r="A146" s="57">
        <v>46340</v>
      </c>
      <c r="B146" s="33" t="s">
        <v>523</v>
      </c>
      <c r="C146" s="30" t="s">
        <v>11</v>
      </c>
      <c r="D146" s="30" t="s">
        <v>32</v>
      </c>
      <c r="E146" s="30" t="s">
        <v>712</v>
      </c>
      <c r="F146" s="59" t="s">
        <v>573</v>
      </c>
      <c r="G146" s="33"/>
      <c r="H146" s="33"/>
      <c r="I146" s="30"/>
      <c r="J146" s="30" t="str">
        <f t="shared" ca="1" si="2"/>
        <v>Nadcházející</v>
      </c>
    </row>
    <row r="147" spans="1:10" ht="26.1" customHeight="1" x14ac:dyDescent="0.2">
      <c r="A147" s="57">
        <v>46340</v>
      </c>
      <c r="B147" s="33" t="s">
        <v>523</v>
      </c>
      <c r="C147" s="30" t="s">
        <v>12</v>
      </c>
      <c r="D147" s="30" t="s">
        <v>33</v>
      </c>
      <c r="E147" s="30" t="s">
        <v>545</v>
      </c>
      <c r="F147" s="59" t="s">
        <v>713</v>
      </c>
      <c r="G147" s="33"/>
      <c r="H147" s="33"/>
      <c r="I147" s="30"/>
      <c r="J147" s="30" t="str">
        <f t="shared" ca="1" si="2"/>
        <v>Nadcházející</v>
      </c>
    </row>
    <row r="148" spans="1:10" ht="26.1" customHeight="1" x14ac:dyDescent="0.2">
      <c r="A148" s="57">
        <v>46341</v>
      </c>
      <c r="B148" s="33" t="s">
        <v>526</v>
      </c>
      <c r="C148" s="30" t="s">
        <v>6</v>
      </c>
      <c r="D148" s="30" t="s">
        <v>29</v>
      </c>
      <c r="E148" s="30" t="s">
        <v>574</v>
      </c>
      <c r="F148" s="59" t="s">
        <v>714</v>
      </c>
      <c r="G148" s="33"/>
      <c r="H148" s="33"/>
      <c r="I148" s="30"/>
      <c r="J148" s="30" t="str">
        <f t="shared" ca="1" si="2"/>
        <v>Nadcházející</v>
      </c>
    </row>
    <row r="149" spans="1:10" ht="26.1" customHeight="1" x14ac:dyDescent="0.2">
      <c r="A149" s="57">
        <v>46341</v>
      </c>
      <c r="B149" s="33" t="s">
        <v>526</v>
      </c>
      <c r="C149" s="30" t="s">
        <v>20</v>
      </c>
      <c r="D149" s="30" t="s">
        <v>34</v>
      </c>
      <c r="E149" s="30" t="s">
        <v>554</v>
      </c>
      <c r="F149" s="59" t="s">
        <v>689</v>
      </c>
      <c r="G149" s="33"/>
      <c r="H149" s="33"/>
      <c r="I149" s="30"/>
      <c r="J149" s="30" t="str">
        <f t="shared" ca="1" si="2"/>
        <v>Nadcházející</v>
      </c>
    </row>
    <row r="150" spans="1:10" ht="26.1" customHeight="1" x14ac:dyDescent="0.2">
      <c r="A150" s="57">
        <v>46341</v>
      </c>
      <c r="B150" s="33" t="s">
        <v>526</v>
      </c>
      <c r="C150" s="30" t="s">
        <v>2</v>
      </c>
      <c r="D150" s="30" t="s">
        <v>26</v>
      </c>
      <c r="E150" s="30" t="s">
        <v>715</v>
      </c>
      <c r="F150" s="59" t="s">
        <v>584</v>
      </c>
      <c r="G150" s="33"/>
      <c r="H150" s="33"/>
      <c r="I150" s="30"/>
      <c r="J150" s="30" t="str">
        <f t="shared" ca="1" si="2"/>
        <v>Nadcházející</v>
      </c>
    </row>
    <row r="151" spans="1:10" ht="26.1" customHeight="1" x14ac:dyDescent="0.2">
      <c r="A151" s="57">
        <v>46341</v>
      </c>
      <c r="B151" s="33" t="s">
        <v>526</v>
      </c>
      <c r="C151" s="30" t="s">
        <v>10</v>
      </c>
      <c r="D151" s="30" t="s">
        <v>32</v>
      </c>
      <c r="E151" s="30" t="s">
        <v>649</v>
      </c>
      <c r="F151" s="59" t="s">
        <v>557</v>
      </c>
      <c r="G151" s="33"/>
      <c r="H151" s="33"/>
      <c r="I151" s="30"/>
      <c r="J151" s="30" t="str">
        <f t="shared" ca="1" si="2"/>
        <v>Nadcházející</v>
      </c>
    </row>
    <row r="152" spans="1:10" ht="26.1" customHeight="1" x14ac:dyDescent="0.2">
      <c r="A152" s="57">
        <v>46341</v>
      </c>
      <c r="B152" s="33" t="s">
        <v>526</v>
      </c>
      <c r="C152" s="30" t="s">
        <v>11</v>
      </c>
      <c r="D152" s="30" t="s">
        <v>32</v>
      </c>
      <c r="E152" s="30" t="s">
        <v>712</v>
      </c>
      <c r="F152" s="59" t="s">
        <v>705</v>
      </c>
      <c r="G152" s="33"/>
      <c r="H152" s="33"/>
      <c r="I152" s="30"/>
      <c r="J152" s="30" t="str">
        <f t="shared" ca="1" si="2"/>
        <v>Nadcházející</v>
      </c>
    </row>
    <row r="153" spans="1:10" ht="26.1" customHeight="1" x14ac:dyDescent="0.2">
      <c r="A153" s="57">
        <v>46341</v>
      </c>
      <c r="B153" s="33" t="s">
        <v>526</v>
      </c>
      <c r="C153" s="30" t="s">
        <v>12</v>
      </c>
      <c r="D153" s="30" t="s">
        <v>33</v>
      </c>
      <c r="E153" s="30" t="s">
        <v>521</v>
      </c>
      <c r="F153" s="59" t="s">
        <v>716</v>
      </c>
      <c r="G153" s="33"/>
      <c r="H153" s="33"/>
      <c r="I153" s="30"/>
      <c r="J153" s="30" t="str">
        <f t="shared" ca="1" si="2"/>
        <v>Nadcházející</v>
      </c>
    </row>
    <row r="154" spans="1:10" ht="26.1" customHeight="1" x14ac:dyDescent="0.2">
      <c r="A154" s="57">
        <v>46347</v>
      </c>
      <c r="B154" s="33" t="s">
        <v>523</v>
      </c>
      <c r="C154" s="30" t="s">
        <v>7</v>
      </c>
      <c r="D154" s="30" t="s">
        <v>30</v>
      </c>
      <c r="E154" s="30" t="s">
        <v>649</v>
      </c>
      <c r="F154" s="59" t="s">
        <v>717</v>
      </c>
      <c r="G154" s="33"/>
      <c r="H154" s="33"/>
      <c r="I154" s="30"/>
      <c r="J154" s="30" t="str">
        <f t="shared" ca="1" si="2"/>
        <v>Nadcházející</v>
      </c>
    </row>
    <row r="155" spans="1:10" ht="26.1" customHeight="1" x14ac:dyDescent="0.2">
      <c r="A155" s="57">
        <v>46347</v>
      </c>
      <c r="B155" s="33" t="s">
        <v>523</v>
      </c>
      <c r="C155" s="30" t="s">
        <v>8</v>
      </c>
      <c r="D155" s="30" t="s">
        <v>31</v>
      </c>
      <c r="E155" s="30" t="s">
        <v>543</v>
      </c>
      <c r="F155" s="59" t="s">
        <v>718</v>
      </c>
      <c r="G155" s="33"/>
      <c r="H155" s="33"/>
      <c r="I155" s="30"/>
      <c r="J155" s="30" t="str">
        <f t="shared" ca="1" si="2"/>
        <v>Nadcházející</v>
      </c>
    </row>
    <row r="156" spans="1:10" ht="26.1" customHeight="1" x14ac:dyDescent="0.2">
      <c r="A156" s="57">
        <v>46347</v>
      </c>
      <c r="B156" s="33" t="s">
        <v>523</v>
      </c>
      <c r="C156" s="30" t="s">
        <v>9</v>
      </c>
      <c r="D156" s="30" t="s">
        <v>30</v>
      </c>
      <c r="E156" s="30" t="s">
        <v>634</v>
      </c>
      <c r="F156" s="59" t="s">
        <v>719</v>
      </c>
      <c r="G156" s="33"/>
      <c r="H156" s="33"/>
      <c r="I156" s="30"/>
      <c r="J156" s="30" t="str">
        <f t="shared" ca="1" si="2"/>
        <v>Nadcházející</v>
      </c>
    </row>
    <row r="157" spans="1:10" ht="26.1" customHeight="1" x14ac:dyDescent="0.2">
      <c r="A157" s="57">
        <v>46347</v>
      </c>
      <c r="B157" s="33" t="s">
        <v>523</v>
      </c>
      <c r="C157" s="30" t="s">
        <v>17</v>
      </c>
      <c r="D157" s="30" t="s">
        <v>34</v>
      </c>
      <c r="E157" s="30" t="s">
        <v>684</v>
      </c>
      <c r="F157" s="59" t="s">
        <v>720</v>
      </c>
      <c r="G157" s="33"/>
      <c r="H157" s="33"/>
      <c r="I157" s="30"/>
      <c r="J157" s="30" t="str">
        <f t="shared" ca="1" si="2"/>
        <v>Nadcházející</v>
      </c>
    </row>
    <row r="158" spans="1:10" ht="26.1" customHeight="1" x14ac:dyDescent="0.2">
      <c r="A158" s="57">
        <v>46347</v>
      </c>
      <c r="B158" s="33" t="s">
        <v>523</v>
      </c>
      <c r="C158" s="30" t="s">
        <v>23</v>
      </c>
      <c r="D158" s="30" t="s">
        <v>26</v>
      </c>
      <c r="E158" s="30" t="s">
        <v>630</v>
      </c>
      <c r="F158" s="59" t="s">
        <v>721</v>
      </c>
      <c r="G158" s="33"/>
      <c r="H158" s="33"/>
      <c r="I158" s="30"/>
      <c r="J158" s="30" t="str">
        <f t="shared" ca="1" si="2"/>
        <v>Nadcházející</v>
      </c>
    </row>
    <row r="159" spans="1:10" ht="26.1" customHeight="1" x14ac:dyDescent="0.2">
      <c r="A159" s="57">
        <v>46347</v>
      </c>
      <c r="B159" s="33" t="s">
        <v>523</v>
      </c>
      <c r="C159" s="30" t="s">
        <v>21</v>
      </c>
      <c r="D159" s="30" t="s">
        <v>34</v>
      </c>
      <c r="E159" s="30" t="s">
        <v>698</v>
      </c>
      <c r="F159" s="59" t="s">
        <v>722</v>
      </c>
      <c r="G159" s="33"/>
      <c r="H159" s="33"/>
      <c r="I159" s="30"/>
      <c r="J159" s="30" t="str">
        <f t="shared" ca="1" si="2"/>
        <v>Nadcházející</v>
      </c>
    </row>
    <row r="160" spans="1:10" ht="26.1" customHeight="1" x14ac:dyDescent="0.2">
      <c r="A160" s="57">
        <v>46347</v>
      </c>
      <c r="B160" s="33" t="s">
        <v>523</v>
      </c>
      <c r="C160" s="30" t="s">
        <v>1</v>
      </c>
      <c r="D160" s="30" t="s">
        <v>25</v>
      </c>
      <c r="E160" s="30" t="s">
        <v>548</v>
      </c>
      <c r="F160" s="59" t="s">
        <v>723</v>
      </c>
      <c r="G160" s="33"/>
      <c r="H160" s="33"/>
      <c r="I160" s="30"/>
      <c r="J160" s="30" t="str">
        <f t="shared" ca="1" si="2"/>
        <v>Nadcházející</v>
      </c>
    </row>
    <row r="161" spans="1:10" ht="26.1" customHeight="1" x14ac:dyDescent="0.2">
      <c r="A161" s="57">
        <v>46347</v>
      </c>
      <c r="B161" s="33" t="s">
        <v>523</v>
      </c>
      <c r="C161" s="30" t="s">
        <v>13</v>
      </c>
      <c r="D161" s="30" t="s">
        <v>32</v>
      </c>
      <c r="E161" s="30" t="s">
        <v>560</v>
      </c>
      <c r="F161" s="59" t="s">
        <v>724</v>
      </c>
      <c r="G161" s="33"/>
      <c r="H161" s="33"/>
      <c r="I161" s="30"/>
      <c r="J161" s="30" t="str">
        <f t="shared" ca="1" si="2"/>
        <v>Nadcházející</v>
      </c>
    </row>
    <row r="162" spans="1:10" ht="26.1" customHeight="1" x14ac:dyDescent="0.2">
      <c r="A162" s="57">
        <v>46347</v>
      </c>
      <c r="B162" s="33" t="s">
        <v>523</v>
      </c>
      <c r="C162" s="30" t="s">
        <v>14</v>
      </c>
      <c r="D162" s="30" t="s">
        <v>32</v>
      </c>
      <c r="E162" s="30" t="s">
        <v>615</v>
      </c>
      <c r="F162" s="59" t="s">
        <v>725</v>
      </c>
      <c r="G162" s="33"/>
      <c r="H162" s="33"/>
      <c r="I162" s="30"/>
      <c r="J162" s="30" t="str">
        <f t="shared" ca="1" si="2"/>
        <v>Nadcházející</v>
      </c>
    </row>
    <row r="163" spans="1:10" ht="26.1" customHeight="1" x14ac:dyDescent="0.2">
      <c r="A163" s="57">
        <v>46347</v>
      </c>
      <c r="B163" s="33" t="s">
        <v>523</v>
      </c>
      <c r="C163" s="30" t="s">
        <v>15</v>
      </c>
      <c r="D163" s="30" t="s">
        <v>30</v>
      </c>
      <c r="E163" s="30" t="s">
        <v>545</v>
      </c>
      <c r="F163" s="59" t="s">
        <v>726</v>
      </c>
      <c r="G163" s="33"/>
      <c r="H163" s="33"/>
      <c r="I163" s="30"/>
      <c r="J163" s="30" t="str">
        <f t="shared" ca="1" si="2"/>
        <v>Nadcházející</v>
      </c>
    </row>
    <row r="164" spans="1:10" ht="26.1" customHeight="1" x14ac:dyDescent="0.2">
      <c r="A164" s="57">
        <v>46347</v>
      </c>
      <c r="B164" s="33" t="s">
        <v>523</v>
      </c>
      <c r="C164" s="30" t="s">
        <v>3</v>
      </c>
      <c r="D164" s="30" t="s">
        <v>27</v>
      </c>
      <c r="E164" s="30" t="s">
        <v>563</v>
      </c>
      <c r="F164" s="59" t="s">
        <v>662</v>
      </c>
      <c r="G164" s="33"/>
      <c r="H164" s="33"/>
      <c r="I164" s="30"/>
      <c r="J164" s="30" t="str">
        <f t="shared" ca="1" si="2"/>
        <v>Nadcházející</v>
      </c>
    </row>
    <row r="165" spans="1:10" ht="26.1" customHeight="1" x14ac:dyDescent="0.2">
      <c r="A165" s="57">
        <v>46347</v>
      </c>
      <c r="B165" s="33" t="s">
        <v>523</v>
      </c>
      <c r="C165" s="30" t="s">
        <v>4</v>
      </c>
      <c r="D165" s="30" t="s">
        <v>28</v>
      </c>
      <c r="E165" s="30" t="s">
        <v>727</v>
      </c>
      <c r="F165" s="59" t="s">
        <v>557</v>
      </c>
      <c r="G165" s="33"/>
      <c r="H165" s="33"/>
      <c r="I165" s="30"/>
      <c r="J165" s="30" t="str">
        <f t="shared" ca="1" si="2"/>
        <v>Nadcházející</v>
      </c>
    </row>
    <row r="166" spans="1:10" ht="26.1" customHeight="1" x14ac:dyDescent="0.2">
      <c r="A166" s="57">
        <v>46347</v>
      </c>
      <c r="B166" s="33" t="s">
        <v>523</v>
      </c>
      <c r="C166" s="30" t="s">
        <v>5</v>
      </c>
      <c r="D166" s="30" t="s">
        <v>28</v>
      </c>
      <c r="E166" s="30" t="s">
        <v>728</v>
      </c>
      <c r="F166" s="59" t="s">
        <v>557</v>
      </c>
      <c r="G166" s="33"/>
      <c r="H166" s="33"/>
      <c r="I166" s="30"/>
      <c r="J166" s="30" t="str">
        <f t="shared" ca="1" si="2"/>
        <v>Nadcházející</v>
      </c>
    </row>
    <row r="167" spans="1:10" ht="26.1" customHeight="1" x14ac:dyDescent="0.2">
      <c r="A167" s="57">
        <v>46348</v>
      </c>
      <c r="B167" s="33" t="s">
        <v>526</v>
      </c>
      <c r="C167" s="30" t="s">
        <v>7</v>
      </c>
      <c r="D167" s="30" t="s">
        <v>30</v>
      </c>
      <c r="E167" s="30" t="s">
        <v>634</v>
      </c>
      <c r="F167" s="59" t="s">
        <v>729</v>
      </c>
      <c r="G167" s="33"/>
      <c r="H167" s="33"/>
      <c r="I167" s="30"/>
      <c r="J167" s="30" t="str">
        <f t="shared" ca="1" si="2"/>
        <v>Nadcházející</v>
      </c>
    </row>
    <row r="168" spans="1:10" ht="26.1" customHeight="1" x14ac:dyDescent="0.2">
      <c r="A168" s="57">
        <v>46348</v>
      </c>
      <c r="B168" s="33" t="s">
        <v>526</v>
      </c>
      <c r="C168" s="30" t="s">
        <v>8</v>
      </c>
      <c r="D168" s="30" t="s">
        <v>31</v>
      </c>
      <c r="E168" s="30" t="s">
        <v>533</v>
      </c>
      <c r="F168" s="59" t="s">
        <v>542</v>
      </c>
      <c r="G168" s="33"/>
      <c r="H168" s="33"/>
      <c r="I168" s="30"/>
      <c r="J168" s="30" t="str">
        <f t="shared" ca="1" si="2"/>
        <v>Nadcházející</v>
      </c>
    </row>
    <row r="169" spans="1:10" ht="26.1" customHeight="1" x14ac:dyDescent="0.2">
      <c r="A169" s="57">
        <v>46348</v>
      </c>
      <c r="B169" s="33" t="s">
        <v>526</v>
      </c>
      <c r="C169" s="30" t="s">
        <v>9</v>
      </c>
      <c r="D169" s="30" t="s">
        <v>30</v>
      </c>
      <c r="E169" s="30" t="s">
        <v>730</v>
      </c>
      <c r="F169" s="59" t="s">
        <v>731</v>
      </c>
      <c r="G169" s="33"/>
      <c r="H169" s="33"/>
      <c r="I169" s="30"/>
      <c r="J169" s="30" t="str">
        <f t="shared" ca="1" si="2"/>
        <v>Nadcházející</v>
      </c>
    </row>
    <row r="170" spans="1:10" ht="26.1" customHeight="1" x14ac:dyDescent="0.2">
      <c r="A170" s="57">
        <v>46348</v>
      </c>
      <c r="B170" s="33" t="s">
        <v>526</v>
      </c>
      <c r="C170" s="30" t="s">
        <v>20</v>
      </c>
      <c r="D170" s="30" t="s">
        <v>34</v>
      </c>
      <c r="E170" s="30" t="s">
        <v>698</v>
      </c>
      <c r="F170" s="59" t="s">
        <v>732</v>
      </c>
      <c r="G170" s="33"/>
      <c r="H170" s="33"/>
      <c r="I170" s="30"/>
      <c r="J170" s="30" t="str">
        <f t="shared" ca="1" si="2"/>
        <v>Nadcházející</v>
      </c>
    </row>
    <row r="171" spans="1:10" ht="26.1" customHeight="1" x14ac:dyDescent="0.2">
      <c r="A171" s="57">
        <v>46348</v>
      </c>
      <c r="B171" s="33" t="s">
        <v>526</v>
      </c>
      <c r="C171" s="30" t="s">
        <v>1</v>
      </c>
      <c r="D171" s="30" t="s">
        <v>25</v>
      </c>
      <c r="E171" s="30" t="s">
        <v>693</v>
      </c>
      <c r="F171" s="59" t="s">
        <v>733</v>
      </c>
      <c r="G171" s="33"/>
      <c r="H171" s="33"/>
      <c r="I171" s="30"/>
      <c r="J171" s="30" t="str">
        <f t="shared" ca="1" si="2"/>
        <v>Nadcházející</v>
      </c>
    </row>
    <row r="172" spans="1:10" ht="26.1" customHeight="1" x14ac:dyDescent="0.2">
      <c r="A172" s="57">
        <v>46348</v>
      </c>
      <c r="B172" s="33" t="s">
        <v>526</v>
      </c>
      <c r="C172" s="30" t="s">
        <v>13</v>
      </c>
      <c r="D172" s="30" t="s">
        <v>32</v>
      </c>
      <c r="E172" s="30" t="s">
        <v>541</v>
      </c>
      <c r="F172" s="59" t="s">
        <v>734</v>
      </c>
      <c r="G172" s="33"/>
      <c r="H172" s="33"/>
      <c r="I172" s="30"/>
      <c r="J172" s="30" t="str">
        <f t="shared" ca="1" si="2"/>
        <v>Nadcházející</v>
      </c>
    </row>
    <row r="173" spans="1:10" ht="26.1" customHeight="1" x14ac:dyDescent="0.2">
      <c r="A173" s="57">
        <v>46348</v>
      </c>
      <c r="B173" s="33" t="s">
        <v>526</v>
      </c>
      <c r="C173" s="30" t="s">
        <v>14</v>
      </c>
      <c r="D173" s="30" t="s">
        <v>32</v>
      </c>
      <c r="E173" s="30" t="s">
        <v>601</v>
      </c>
      <c r="F173" s="59" t="s">
        <v>735</v>
      </c>
      <c r="G173" s="33"/>
      <c r="H173" s="33"/>
      <c r="I173" s="30"/>
      <c r="J173" s="30" t="str">
        <f t="shared" ca="1" si="2"/>
        <v>Nadcházející</v>
      </c>
    </row>
    <row r="174" spans="1:10" ht="26.1" customHeight="1" x14ac:dyDescent="0.2">
      <c r="A174" s="57">
        <v>46348</v>
      </c>
      <c r="B174" s="33" t="s">
        <v>526</v>
      </c>
      <c r="C174" s="30" t="s">
        <v>3</v>
      </c>
      <c r="D174" s="30" t="s">
        <v>27</v>
      </c>
      <c r="E174" s="30" t="s">
        <v>547</v>
      </c>
      <c r="F174" s="59" t="s">
        <v>736</v>
      </c>
      <c r="G174" s="33"/>
      <c r="H174" s="33"/>
      <c r="I174" s="30"/>
      <c r="J174" s="30" t="str">
        <f t="shared" ca="1" si="2"/>
        <v>Nadcházející</v>
      </c>
    </row>
    <row r="175" spans="1:10" ht="26.1" customHeight="1" x14ac:dyDescent="0.2">
      <c r="A175" s="57">
        <v>46354</v>
      </c>
      <c r="B175" s="33" t="s">
        <v>523</v>
      </c>
      <c r="C175" s="30" t="s">
        <v>1</v>
      </c>
      <c r="D175" s="30" t="s">
        <v>25</v>
      </c>
      <c r="E175" s="30" t="s">
        <v>737</v>
      </c>
      <c r="F175" s="59" t="s">
        <v>689</v>
      </c>
      <c r="G175" s="33"/>
      <c r="H175" s="33"/>
      <c r="I175" s="30"/>
      <c r="J175" s="30" t="str">
        <f t="shared" ca="1" si="2"/>
        <v>Nadcházející</v>
      </c>
    </row>
    <row r="176" spans="1:10" ht="26.1" customHeight="1" x14ac:dyDescent="0.2">
      <c r="A176" s="57">
        <v>46355</v>
      </c>
      <c r="B176" s="33" t="s">
        <v>526</v>
      </c>
      <c r="C176" s="30" t="s">
        <v>1</v>
      </c>
      <c r="D176" s="30" t="s">
        <v>25</v>
      </c>
      <c r="E176" s="30" t="s">
        <v>738</v>
      </c>
      <c r="F176" s="59" t="s">
        <v>739</v>
      </c>
      <c r="G176" s="33"/>
      <c r="H176" s="33"/>
      <c r="I176" s="30"/>
      <c r="J176" s="30" t="str">
        <f t="shared" ca="1" si="2"/>
        <v>Nadcházející</v>
      </c>
    </row>
    <row r="177" spans="1:10" ht="26.1" customHeight="1" x14ac:dyDescent="0.2">
      <c r="A177" s="57">
        <v>46361</v>
      </c>
      <c r="B177" s="33" t="s">
        <v>523</v>
      </c>
      <c r="C177" s="30" t="s">
        <v>6</v>
      </c>
      <c r="D177" s="30" t="s">
        <v>29</v>
      </c>
      <c r="E177" s="30" t="s">
        <v>548</v>
      </c>
      <c r="F177" s="59" t="s">
        <v>740</v>
      </c>
      <c r="G177" s="33"/>
      <c r="H177" s="33"/>
      <c r="I177" s="30"/>
      <c r="J177" s="30" t="str">
        <f t="shared" ca="1" si="2"/>
        <v>Nadcházející</v>
      </c>
    </row>
    <row r="178" spans="1:10" ht="26.1" customHeight="1" x14ac:dyDescent="0.2">
      <c r="A178" s="57">
        <v>46361</v>
      </c>
      <c r="B178" s="33" t="s">
        <v>523</v>
      </c>
      <c r="C178" s="30" t="s">
        <v>18</v>
      </c>
      <c r="D178" s="30" t="s">
        <v>34</v>
      </c>
      <c r="E178" s="30" t="s">
        <v>634</v>
      </c>
      <c r="F178" s="59" t="s">
        <v>741</v>
      </c>
      <c r="G178" s="33"/>
      <c r="H178" s="33"/>
      <c r="I178" s="30"/>
      <c r="J178" s="30" t="str">
        <f t="shared" ca="1" si="2"/>
        <v>Nadcházející</v>
      </c>
    </row>
    <row r="179" spans="1:10" ht="26.1" customHeight="1" x14ac:dyDescent="0.2">
      <c r="A179" s="57">
        <v>46361</v>
      </c>
      <c r="B179" s="33" t="s">
        <v>523</v>
      </c>
      <c r="C179" s="30" t="s">
        <v>16</v>
      </c>
      <c r="D179" s="30" t="s">
        <v>34</v>
      </c>
      <c r="E179" s="30" t="s">
        <v>579</v>
      </c>
      <c r="F179" s="59" t="s">
        <v>654</v>
      </c>
      <c r="G179" s="33"/>
      <c r="H179" s="33"/>
      <c r="I179" s="30"/>
      <c r="J179" s="30" t="str">
        <f t="shared" ca="1" si="2"/>
        <v>Nadcházející</v>
      </c>
    </row>
    <row r="180" spans="1:10" ht="26.1" customHeight="1" x14ac:dyDescent="0.2">
      <c r="A180" s="57">
        <v>46361</v>
      </c>
      <c r="B180" s="33" t="s">
        <v>523</v>
      </c>
      <c r="C180" s="30" t="s">
        <v>22</v>
      </c>
      <c r="D180" s="30" t="s">
        <v>34</v>
      </c>
      <c r="E180" s="30" t="s">
        <v>570</v>
      </c>
      <c r="F180" s="59" t="s">
        <v>742</v>
      </c>
      <c r="G180" s="33"/>
      <c r="H180" s="33"/>
      <c r="I180" s="30"/>
      <c r="J180" s="30" t="str">
        <f t="shared" ca="1" si="2"/>
        <v>Nadcházející</v>
      </c>
    </row>
    <row r="181" spans="1:10" ht="26.1" customHeight="1" x14ac:dyDescent="0.2">
      <c r="A181" s="57">
        <v>46361</v>
      </c>
      <c r="B181" s="33" t="s">
        <v>523</v>
      </c>
      <c r="C181" s="30" t="s">
        <v>20</v>
      </c>
      <c r="D181" s="30" t="s">
        <v>34</v>
      </c>
      <c r="E181" s="30" t="s">
        <v>743</v>
      </c>
      <c r="F181" s="59" t="s">
        <v>534</v>
      </c>
      <c r="G181" s="33"/>
      <c r="H181" s="33"/>
      <c r="I181" s="30"/>
      <c r="J181" s="30" t="str">
        <f t="shared" ca="1" si="2"/>
        <v>Nadcházející</v>
      </c>
    </row>
    <row r="182" spans="1:10" ht="26.1" customHeight="1" x14ac:dyDescent="0.2">
      <c r="A182" s="57">
        <v>46361</v>
      </c>
      <c r="B182" s="33" t="s">
        <v>523</v>
      </c>
      <c r="C182" s="30" t="s">
        <v>2</v>
      </c>
      <c r="D182" s="30" t="s">
        <v>26</v>
      </c>
      <c r="E182" s="30" t="s">
        <v>744</v>
      </c>
      <c r="F182" s="59" t="s">
        <v>745</v>
      </c>
      <c r="G182" s="33"/>
      <c r="H182" s="33"/>
      <c r="I182" s="30"/>
      <c r="J182" s="30" t="str">
        <f t="shared" ca="1" si="2"/>
        <v>Nadcházející</v>
      </c>
    </row>
    <row r="183" spans="1:10" ht="26.1" customHeight="1" x14ac:dyDescent="0.2">
      <c r="A183" s="57">
        <v>46361</v>
      </c>
      <c r="B183" s="33" t="s">
        <v>523</v>
      </c>
      <c r="C183" s="30" t="s">
        <v>10</v>
      </c>
      <c r="D183" s="30" t="s">
        <v>32</v>
      </c>
      <c r="E183" s="30" t="s">
        <v>565</v>
      </c>
      <c r="F183" s="59" t="s">
        <v>746</v>
      </c>
      <c r="G183" s="33"/>
      <c r="H183" s="33"/>
      <c r="I183" s="30"/>
      <c r="J183" s="30" t="str">
        <f t="shared" ca="1" si="2"/>
        <v>Nadcházející</v>
      </c>
    </row>
    <row r="184" spans="1:10" ht="26.1" customHeight="1" x14ac:dyDescent="0.2">
      <c r="A184" s="57">
        <v>46361</v>
      </c>
      <c r="B184" s="33" t="s">
        <v>523</v>
      </c>
      <c r="C184" s="30" t="s">
        <v>11</v>
      </c>
      <c r="D184" s="30" t="s">
        <v>32</v>
      </c>
      <c r="E184" s="30" t="s">
        <v>747</v>
      </c>
      <c r="F184" s="59" t="s">
        <v>748</v>
      </c>
      <c r="G184" s="33"/>
      <c r="H184" s="33"/>
      <c r="I184" s="30"/>
      <c r="J184" s="30" t="str">
        <f t="shared" ca="1" si="2"/>
        <v>Nadcházející</v>
      </c>
    </row>
    <row r="185" spans="1:10" ht="26.1" customHeight="1" x14ac:dyDescent="0.2">
      <c r="A185" s="57">
        <v>46361</v>
      </c>
      <c r="B185" s="33" t="s">
        <v>523</v>
      </c>
      <c r="C185" s="30" t="s">
        <v>12</v>
      </c>
      <c r="D185" s="30" t="s">
        <v>33</v>
      </c>
      <c r="E185" s="30" t="s">
        <v>749</v>
      </c>
      <c r="F185" s="59" t="s">
        <v>750</v>
      </c>
      <c r="G185" s="33"/>
      <c r="H185" s="33"/>
      <c r="I185" s="30"/>
      <c r="J185" s="30" t="str">
        <f t="shared" ca="1" si="2"/>
        <v>Nadcházející</v>
      </c>
    </row>
    <row r="186" spans="1:10" ht="26.1" customHeight="1" x14ac:dyDescent="0.2">
      <c r="A186" s="57">
        <v>46362</v>
      </c>
      <c r="B186" s="33" t="s">
        <v>526</v>
      </c>
      <c r="C186" s="30" t="s">
        <v>6</v>
      </c>
      <c r="D186" s="30" t="s">
        <v>29</v>
      </c>
      <c r="E186" s="30" t="s">
        <v>619</v>
      </c>
      <c r="F186" s="59" t="s">
        <v>751</v>
      </c>
      <c r="G186" s="33"/>
      <c r="H186" s="33"/>
      <c r="I186" s="30"/>
      <c r="J186" s="30" t="str">
        <f t="shared" ca="1" si="2"/>
        <v>Nadcházející</v>
      </c>
    </row>
    <row r="187" spans="1:10" ht="26.1" customHeight="1" x14ac:dyDescent="0.2">
      <c r="A187" s="57">
        <v>46362</v>
      </c>
      <c r="B187" s="33" t="s">
        <v>526</v>
      </c>
      <c r="C187" s="30" t="s">
        <v>16</v>
      </c>
      <c r="D187" s="30" t="s">
        <v>34</v>
      </c>
      <c r="E187" s="30" t="s">
        <v>539</v>
      </c>
      <c r="F187" s="59" t="s">
        <v>666</v>
      </c>
      <c r="G187" s="33"/>
      <c r="H187" s="33"/>
      <c r="I187" s="30"/>
      <c r="J187" s="30" t="str">
        <f t="shared" ca="1" si="2"/>
        <v>Nadcházející</v>
      </c>
    </row>
    <row r="188" spans="1:10" ht="26.1" customHeight="1" x14ac:dyDescent="0.2">
      <c r="A188" s="57">
        <v>46362</v>
      </c>
      <c r="B188" s="33" t="s">
        <v>526</v>
      </c>
      <c r="C188" s="30" t="s">
        <v>20</v>
      </c>
      <c r="D188" s="30" t="s">
        <v>34</v>
      </c>
      <c r="E188" s="30" t="s">
        <v>743</v>
      </c>
      <c r="F188" s="59" t="s">
        <v>752</v>
      </c>
      <c r="G188" s="33"/>
      <c r="H188" s="33"/>
      <c r="I188" s="30"/>
      <c r="J188" s="30" t="str">
        <f t="shared" ca="1" si="2"/>
        <v>Nadcházející</v>
      </c>
    </row>
    <row r="189" spans="1:10" ht="26.1" customHeight="1" x14ac:dyDescent="0.2">
      <c r="A189" s="57">
        <v>46362</v>
      </c>
      <c r="B189" s="33" t="s">
        <v>526</v>
      </c>
      <c r="C189" s="30" t="s">
        <v>10</v>
      </c>
      <c r="D189" s="30" t="s">
        <v>32</v>
      </c>
      <c r="E189" s="30" t="s">
        <v>574</v>
      </c>
      <c r="F189" s="59" t="s">
        <v>753</v>
      </c>
      <c r="G189" s="33"/>
      <c r="H189" s="33"/>
      <c r="I189" s="30"/>
      <c r="J189" s="30" t="str">
        <f t="shared" ca="1" si="2"/>
        <v>Nadcházející</v>
      </c>
    </row>
    <row r="190" spans="1:10" ht="26.1" customHeight="1" x14ac:dyDescent="0.2">
      <c r="A190" s="57">
        <v>46362</v>
      </c>
      <c r="B190" s="33" t="s">
        <v>526</v>
      </c>
      <c r="C190" s="30" t="s">
        <v>11</v>
      </c>
      <c r="D190" s="30" t="s">
        <v>32</v>
      </c>
      <c r="E190" s="30" t="s">
        <v>575</v>
      </c>
      <c r="F190" s="59" t="s">
        <v>736</v>
      </c>
      <c r="G190" s="33"/>
      <c r="H190" s="33"/>
      <c r="I190" s="30"/>
      <c r="J190" s="30" t="str">
        <f t="shared" ca="1" si="2"/>
        <v>Nadcházející</v>
      </c>
    </row>
    <row r="191" spans="1:10" ht="26.1" customHeight="1" x14ac:dyDescent="0.2">
      <c r="A191" s="57">
        <v>46362</v>
      </c>
      <c r="B191" s="33" t="s">
        <v>526</v>
      </c>
      <c r="C191" s="30" t="s">
        <v>12</v>
      </c>
      <c r="D191" s="30" t="s">
        <v>33</v>
      </c>
      <c r="E191" s="30" t="s">
        <v>754</v>
      </c>
      <c r="F191" s="59" t="s">
        <v>755</v>
      </c>
      <c r="G191" s="33"/>
      <c r="H191" s="33"/>
      <c r="I191" s="30"/>
      <c r="J191" s="30" t="str">
        <f t="shared" ca="1" si="2"/>
        <v>Nadcházející</v>
      </c>
    </row>
    <row r="192" spans="1:10" ht="26.1" customHeight="1" x14ac:dyDescent="0.2">
      <c r="A192" s="57">
        <v>46368</v>
      </c>
      <c r="B192" s="33" t="s">
        <v>523</v>
      </c>
      <c r="C192" s="30" t="s">
        <v>7</v>
      </c>
      <c r="D192" s="30" t="s">
        <v>30</v>
      </c>
      <c r="E192" s="30" t="s">
        <v>627</v>
      </c>
      <c r="F192" s="59" t="s">
        <v>756</v>
      </c>
      <c r="G192" s="33"/>
      <c r="H192" s="33"/>
      <c r="I192" s="30"/>
      <c r="J192" s="30" t="str">
        <f t="shared" ca="1" si="2"/>
        <v>Nadcházející</v>
      </c>
    </row>
    <row r="193" spans="1:10" ht="26.1" customHeight="1" x14ac:dyDescent="0.2">
      <c r="A193" s="57">
        <v>46368</v>
      </c>
      <c r="B193" s="33" t="s">
        <v>523</v>
      </c>
      <c r="C193" s="30" t="s">
        <v>8</v>
      </c>
      <c r="D193" s="30" t="s">
        <v>31</v>
      </c>
      <c r="E193" s="30" t="s">
        <v>570</v>
      </c>
      <c r="F193" s="59" t="s">
        <v>561</v>
      </c>
      <c r="G193" s="33"/>
      <c r="H193" s="33"/>
      <c r="I193" s="30"/>
      <c r="J193" s="30" t="str">
        <f t="shared" ca="1" si="2"/>
        <v>Nadcházející</v>
      </c>
    </row>
    <row r="194" spans="1:10" ht="26.1" customHeight="1" x14ac:dyDescent="0.2">
      <c r="A194" s="57">
        <v>46368</v>
      </c>
      <c r="B194" s="33" t="s">
        <v>523</v>
      </c>
      <c r="C194" s="30" t="s">
        <v>9</v>
      </c>
      <c r="D194" s="30" t="s">
        <v>30</v>
      </c>
      <c r="E194" s="30" t="s">
        <v>619</v>
      </c>
      <c r="F194" s="59" t="s">
        <v>757</v>
      </c>
      <c r="G194" s="33"/>
      <c r="H194" s="33"/>
      <c r="I194" s="30"/>
      <c r="J194" s="30" t="str">
        <f t="shared" ca="1" si="2"/>
        <v>Nadcházející</v>
      </c>
    </row>
    <row r="195" spans="1:10" ht="26.1" customHeight="1" x14ac:dyDescent="0.2">
      <c r="A195" s="57">
        <v>46368</v>
      </c>
      <c r="B195" s="33" t="s">
        <v>523</v>
      </c>
      <c r="C195" s="30" t="s">
        <v>19</v>
      </c>
      <c r="D195" s="30" t="s">
        <v>26</v>
      </c>
      <c r="E195" s="30" t="s">
        <v>570</v>
      </c>
      <c r="F195" s="59" t="s">
        <v>758</v>
      </c>
      <c r="G195" s="33"/>
      <c r="H195" s="33"/>
      <c r="I195" s="30"/>
      <c r="J195" s="30" t="str">
        <f t="shared" ca="1" si="2"/>
        <v>Nadcházející</v>
      </c>
    </row>
    <row r="196" spans="1:10" ht="26.1" customHeight="1" x14ac:dyDescent="0.2">
      <c r="A196" s="57">
        <v>46368</v>
      </c>
      <c r="B196" s="33" t="s">
        <v>523</v>
      </c>
      <c r="C196" s="30" t="s">
        <v>17</v>
      </c>
      <c r="D196" s="30" t="s">
        <v>34</v>
      </c>
      <c r="E196" s="30" t="s">
        <v>558</v>
      </c>
      <c r="F196" s="59" t="s">
        <v>759</v>
      </c>
      <c r="G196" s="33"/>
      <c r="H196" s="33"/>
      <c r="I196" s="30"/>
      <c r="J196" s="30" t="str">
        <f t="shared" ca="1" si="2"/>
        <v>Nadcházející</v>
      </c>
    </row>
    <row r="197" spans="1:10" ht="26.1" customHeight="1" x14ac:dyDescent="0.2">
      <c r="A197" s="57">
        <v>46368</v>
      </c>
      <c r="B197" s="33" t="s">
        <v>523</v>
      </c>
      <c r="C197" s="30" t="s">
        <v>23</v>
      </c>
      <c r="D197" s="30" t="s">
        <v>26</v>
      </c>
      <c r="E197" s="30" t="s">
        <v>556</v>
      </c>
      <c r="F197" s="59" t="s">
        <v>760</v>
      </c>
      <c r="G197" s="33"/>
      <c r="H197" s="33"/>
      <c r="I197" s="30"/>
      <c r="J197" s="30" t="str">
        <f t="shared" ref="J197:J260" ca="1" si="3">IF(A197&lt;TODAY(),"Odehráno",IF(A197=TODAY(),"Dnes","Nadcházející"))</f>
        <v>Nadcházející</v>
      </c>
    </row>
    <row r="198" spans="1:10" ht="26.1" customHeight="1" x14ac:dyDescent="0.2">
      <c r="A198" s="57">
        <v>46368</v>
      </c>
      <c r="B198" s="33" t="s">
        <v>523</v>
      </c>
      <c r="C198" s="30" t="s">
        <v>21</v>
      </c>
      <c r="D198" s="30" t="s">
        <v>34</v>
      </c>
      <c r="E198" s="30" t="s">
        <v>541</v>
      </c>
      <c r="F198" s="59" t="s">
        <v>761</v>
      </c>
      <c r="G198" s="33"/>
      <c r="H198" s="33"/>
      <c r="I198" s="30"/>
      <c r="J198" s="30" t="str">
        <f t="shared" ca="1" si="3"/>
        <v>Nadcházející</v>
      </c>
    </row>
    <row r="199" spans="1:10" ht="26.1" customHeight="1" x14ac:dyDescent="0.2">
      <c r="A199" s="57">
        <v>46368</v>
      </c>
      <c r="B199" s="33" t="s">
        <v>523</v>
      </c>
      <c r="C199" s="30" t="s">
        <v>1</v>
      </c>
      <c r="D199" s="30" t="s">
        <v>25</v>
      </c>
      <c r="E199" s="30" t="s">
        <v>762</v>
      </c>
      <c r="F199" s="59" t="s">
        <v>763</v>
      </c>
      <c r="G199" s="33"/>
      <c r="H199" s="33"/>
      <c r="I199" s="30"/>
      <c r="J199" s="30" t="str">
        <f t="shared" ca="1" si="3"/>
        <v>Nadcházející</v>
      </c>
    </row>
    <row r="200" spans="1:10" ht="26.1" customHeight="1" x14ac:dyDescent="0.2">
      <c r="A200" s="57">
        <v>46368</v>
      </c>
      <c r="B200" s="33" t="s">
        <v>523</v>
      </c>
      <c r="C200" s="30" t="s">
        <v>13</v>
      </c>
      <c r="D200" s="30" t="s">
        <v>32</v>
      </c>
      <c r="E200" s="30" t="s">
        <v>613</v>
      </c>
      <c r="F200" s="59" t="s">
        <v>544</v>
      </c>
      <c r="G200" s="33"/>
      <c r="H200" s="33"/>
      <c r="I200" s="30"/>
      <c r="J200" s="30" t="str">
        <f t="shared" ca="1" si="3"/>
        <v>Nadcházející</v>
      </c>
    </row>
    <row r="201" spans="1:10" ht="26.1" customHeight="1" x14ac:dyDescent="0.2">
      <c r="A201" s="57">
        <v>46368</v>
      </c>
      <c r="B201" s="33" t="s">
        <v>523</v>
      </c>
      <c r="C201" s="30" t="s">
        <v>3</v>
      </c>
      <c r="D201" s="30" t="s">
        <v>27</v>
      </c>
      <c r="E201" s="30" t="s">
        <v>617</v>
      </c>
      <c r="F201" s="59" t="s">
        <v>764</v>
      </c>
      <c r="G201" s="33"/>
      <c r="H201" s="33"/>
      <c r="I201" s="30"/>
      <c r="J201" s="30" t="str">
        <f t="shared" ca="1" si="3"/>
        <v>Nadcházející</v>
      </c>
    </row>
    <row r="202" spans="1:10" ht="26.1" customHeight="1" x14ac:dyDescent="0.2">
      <c r="A202" s="57">
        <v>46368</v>
      </c>
      <c r="B202" s="33" t="s">
        <v>523</v>
      </c>
      <c r="C202" s="30" t="s">
        <v>4</v>
      </c>
      <c r="D202" s="30" t="s">
        <v>28</v>
      </c>
      <c r="E202" s="30" t="s">
        <v>548</v>
      </c>
      <c r="F202" s="59" t="s">
        <v>753</v>
      </c>
      <c r="G202" s="33"/>
      <c r="H202" s="33"/>
      <c r="I202" s="30"/>
      <c r="J202" s="30" t="str">
        <f t="shared" ca="1" si="3"/>
        <v>Nadcházející</v>
      </c>
    </row>
    <row r="203" spans="1:10" ht="26.1" customHeight="1" x14ac:dyDescent="0.2">
      <c r="A203" s="57">
        <v>46369</v>
      </c>
      <c r="B203" s="33" t="s">
        <v>526</v>
      </c>
      <c r="C203" s="30" t="s">
        <v>7</v>
      </c>
      <c r="D203" s="30" t="s">
        <v>30</v>
      </c>
      <c r="E203" s="30" t="s">
        <v>627</v>
      </c>
      <c r="F203" s="59" t="s">
        <v>765</v>
      </c>
      <c r="G203" s="33"/>
      <c r="H203" s="33"/>
      <c r="I203" s="30"/>
      <c r="J203" s="30" t="str">
        <f t="shared" ca="1" si="3"/>
        <v>Nadcházející</v>
      </c>
    </row>
    <row r="204" spans="1:10" ht="26.1" customHeight="1" x14ac:dyDescent="0.2">
      <c r="A204" s="57">
        <v>46369</v>
      </c>
      <c r="B204" s="33" t="s">
        <v>526</v>
      </c>
      <c r="C204" s="30" t="s">
        <v>8</v>
      </c>
      <c r="D204" s="30" t="s">
        <v>31</v>
      </c>
      <c r="E204" s="30" t="s">
        <v>587</v>
      </c>
      <c r="F204" s="59" t="s">
        <v>614</v>
      </c>
      <c r="G204" s="33"/>
      <c r="H204" s="33"/>
      <c r="I204" s="30"/>
      <c r="J204" s="30" t="str">
        <f t="shared" ca="1" si="3"/>
        <v>Nadcházející</v>
      </c>
    </row>
    <row r="205" spans="1:10" ht="26.1" customHeight="1" x14ac:dyDescent="0.2">
      <c r="A205" s="57">
        <v>46369</v>
      </c>
      <c r="B205" s="33" t="s">
        <v>526</v>
      </c>
      <c r="C205" s="30" t="s">
        <v>9</v>
      </c>
      <c r="D205" s="30" t="s">
        <v>30</v>
      </c>
      <c r="E205" s="30" t="s">
        <v>619</v>
      </c>
      <c r="F205" s="59" t="s">
        <v>766</v>
      </c>
      <c r="G205" s="33"/>
      <c r="H205" s="33"/>
      <c r="I205" s="30"/>
      <c r="J205" s="30" t="str">
        <f t="shared" ca="1" si="3"/>
        <v>Nadcházející</v>
      </c>
    </row>
    <row r="206" spans="1:10" ht="26.1" customHeight="1" x14ac:dyDescent="0.2">
      <c r="A206" s="57">
        <v>46369</v>
      </c>
      <c r="B206" s="33" t="s">
        <v>526</v>
      </c>
      <c r="C206" s="30" t="s">
        <v>1</v>
      </c>
      <c r="D206" s="30" t="s">
        <v>25</v>
      </c>
      <c r="E206" s="30" t="s">
        <v>698</v>
      </c>
      <c r="F206" s="59" t="s">
        <v>767</v>
      </c>
      <c r="G206" s="33"/>
      <c r="H206" s="33"/>
      <c r="I206" s="30"/>
      <c r="J206" s="30" t="str">
        <f t="shared" ca="1" si="3"/>
        <v>Nadcházející</v>
      </c>
    </row>
    <row r="207" spans="1:10" ht="26.1" customHeight="1" x14ac:dyDescent="0.2">
      <c r="A207" s="57">
        <v>46369</v>
      </c>
      <c r="B207" s="33" t="s">
        <v>526</v>
      </c>
      <c r="C207" s="30" t="s">
        <v>13</v>
      </c>
      <c r="D207" s="30" t="s">
        <v>32</v>
      </c>
      <c r="E207" s="30" t="s">
        <v>599</v>
      </c>
      <c r="F207" s="59" t="s">
        <v>768</v>
      </c>
      <c r="G207" s="33"/>
      <c r="H207" s="33"/>
      <c r="I207" s="30"/>
      <c r="J207" s="30" t="str">
        <f t="shared" ca="1" si="3"/>
        <v>Nadcházející</v>
      </c>
    </row>
    <row r="208" spans="1:10" ht="26.1" customHeight="1" x14ac:dyDescent="0.2">
      <c r="A208" s="57">
        <v>46369</v>
      </c>
      <c r="B208" s="33" t="s">
        <v>526</v>
      </c>
      <c r="C208" s="30" t="s">
        <v>14</v>
      </c>
      <c r="D208" s="30" t="s">
        <v>32</v>
      </c>
      <c r="E208" s="30" t="s">
        <v>638</v>
      </c>
      <c r="F208" s="59" t="s">
        <v>769</v>
      </c>
      <c r="G208" s="33"/>
      <c r="H208" s="33"/>
      <c r="I208" s="30"/>
      <c r="J208" s="30" t="str">
        <f t="shared" ca="1" si="3"/>
        <v>Nadcházející</v>
      </c>
    </row>
    <row r="209" spans="1:10" ht="26.1" customHeight="1" x14ac:dyDescent="0.2">
      <c r="A209" s="57">
        <v>46369</v>
      </c>
      <c r="B209" s="33" t="s">
        <v>526</v>
      </c>
      <c r="C209" s="30" t="s">
        <v>15</v>
      </c>
      <c r="D209" s="30" t="s">
        <v>30</v>
      </c>
      <c r="E209" s="30" t="s">
        <v>603</v>
      </c>
      <c r="F209" s="59" t="s">
        <v>705</v>
      </c>
      <c r="G209" s="33"/>
      <c r="H209" s="33"/>
      <c r="I209" s="30"/>
      <c r="J209" s="30" t="str">
        <f t="shared" ca="1" si="3"/>
        <v>Nadcházející</v>
      </c>
    </row>
    <row r="210" spans="1:10" ht="26.1" customHeight="1" x14ac:dyDescent="0.2">
      <c r="A210" s="57">
        <v>46369</v>
      </c>
      <c r="B210" s="33" t="s">
        <v>526</v>
      </c>
      <c r="C210" s="30" t="s">
        <v>3</v>
      </c>
      <c r="D210" s="30" t="s">
        <v>27</v>
      </c>
      <c r="E210" s="30" t="s">
        <v>604</v>
      </c>
      <c r="F210" s="59" t="s">
        <v>683</v>
      </c>
      <c r="G210" s="33"/>
      <c r="H210" s="33"/>
      <c r="I210" s="30"/>
      <c r="J210" s="30" t="str">
        <f t="shared" ca="1" si="3"/>
        <v>Nadcházející</v>
      </c>
    </row>
    <row r="211" spans="1:10" ht="26.1" customHeight="1" x14ac:dyDescent="0.2">
      <c r="A211" s="57">
        <v>46369</v>
      </c>
      <c r="B211" s="33" t="s">
        <v>526</v>
      </c>
      <c r="C211" s="30" t="s">
        <v>5</v>
      </c>
      <c r="D211" s="30" t="s">
        <v>28</v>
      </c>
      <c r="E211" s="30" t="s">
        <v>548</v>
      </c>
      <c r="F211" s="59" t="s">
        <v>628</v>
      </c>
      <c r="G211" s="33"/>
      <c r="H211" s="33"/>
      <c r="I211" s="30"/>
      <c r="J211" s="30" t="str">
        <f t="shared" ca="1" si="3"/>
        <v>Nadcházející</v>
      </c>
    </row>
    <row r="212" spans="1:10" ht="26.1" customHeight="1" x14ac:dyDescent="0.2">
      <c r="A212" s="57">
        <v>46396</v>
      </c>
      <c r="B212" s="33" t="s">
        <v>523</v>
      </c>
      <c r="C212" s="30" t="s">
        <v>6</v>
      </c>
      <c r="D212" s="30" t="s">
        <v>29</v>
      </c>
      <c r="E212" s="30" t="s">
        <v>680</v>
      </c>
      <c r="F212" s="59" t="s">
        <v>770</v>
      </c>
      <c r="G212" s="33"/>
      <c r="H212" s="33"/>
      <c r="I212" s="30"/>
      <c r="J212" s="30" t="str">
        <f t="shared" ca="1" si="3"/>
        <v>Nadcházející</v>
      </c>
    </row>
    <row r="213" spans="1:10" ht="26.1" customHeight="1" x14ac:dyDescent="0.2">
      <c r="A213" s="57">
        <v>46396</v>
      </c>
      <c r="B213" s="33" t="s">
        <v>523</v>
      </c>
      <c r="C213" s="30" t="s">
        <v>18</v>
      </c>
      <c r="D213" s="30" t="s">
        <v>34</v>
      </c>
      <c r="E213" s="30" t="s">
        <v>289</v>
      </c>
      <c r="F213" s="59"/>
      <c r="G213" s="33"/>
      <c r="H213" s="33"/>
      <c r="I213" s="30"/>
      <c r="J213" s="30" t="str">
        <f t="shared" ca="1" si="3"/>
        <v>Nadcházející</v>
      </c>
    </row>
    <row r="214" spans="1:10" ht="26.1" customHeight="1" x14ac:dyDescent="0.2">
      <c r="A214" s="57">
        <v>46396</v>
      </c>
      <c r="B214" s="33" t="s">
        <v>523</v>
      </c>
      <c r="C214" s="30" t="s">
        <v>22</v>
      </c>
      <c r="D214" s="30" t="s">
        <v>34</v>
      </c>
      <c r="E214" s="30" t="s">
        <v>771</v>
      </c>
      <c r="F214" s="59" t="s">
        <v>573</v>
      </c>
      <c r="G214" s="33"/>
      <c r="H214" s="33"/>
      <c r="I214" s="30"/>
      <c r="J214" s="30" t="str">
        <f t="shared" ca="1" si="3"/>
        <v>Nadcházející</v>
      </c>
    </row>
    <row r="215" spans="1:10" ht="26.1" customHeight="1" x14ac:dyDescent="0.2">
      <c r="A215" s="57">
        <v>46396</v>
      </c>
      <c r="B215" s="33" t="s">
        <v>523</v>
      </c>
      <c r="C215" s="30" t="s">
        <v>20</v>
      </c>
      <c r="D215" s="30" t="s">
        <v>34</v>
      </c>
      <c r="E215" s="30" t="s">
        <v>772</v>
      </c>
      <c r="F215" s="59" t="s">
        <v>546</v>
      </c>
      <c r="G215" s="33"/>
      <c r="H215" s="33"/>
      <c r="I215" s="30"/>
      <c r="J215" s="30" t="str">
        <f t="shared" ca="1" si="3"/>
        <v>Nadcházející</v>
      </c>
    </row>
    <row r="216" spans="1:10" ht="26.1" customHeight="1" x14ac:dyDescent="0.2">
      <c r="A216" s="57">
        <v>46396</v>
      </c>
      <c r="B216" s="33" t="s">
        <v>523</v>
      </c>
      <c r="C216" s="30" t="s">
        <v>10</v>
      </c>
      <c r="D216" s="30" t="s">
        <v>32</v>
      </c>
      <c r="E216" s="30" t="s">
        <v>631</v>
      </c>
      <c r="F216" s="59" t="s">
        <v>773</v>
      </c>
      <c r="G216" s="33"/>
      <c r="H216" s="33"/>
      <c r="I216" s="30"/>
      <c r="J216" s="30" t="str">
        <f t="shared" ca="1" si="3"/>
        <v>Nadcházející</v>
      </c>
    </row>
    <row r="217" spans="1:10" ht="26.1" customHeight="1" x14ac:dyDescent="0.2">
      <c r="A217" s="57">
        <v>46396</v>
      </c>
      <c r="B217" s="33" t="s">
        <v>523</v>
      </c>
      <c r="C217" s="30" t="s">
        <v>11</v>
      </c>
      <c r="D217" s="30" t="s">
        <v>32</v>
      </c>
      <c r="E217" s="30" t="s">
        <v>633</v>
      </c>
      <c r="F217" s="59" t="s">
        <v>773</v>
      </c>
      <c r="G217" s="33"/>
      <c r="H217" s="33"/>
      <c r="I217" s="30"/>
      <c r="J217" s="30" t="str">
        <f t="shared" ca="1" si="3"/>
        <v>Nadcházející</v>
      </c>
    </row>
    <row r="218" spans="1:10" ht="26.1" customHeight="1" x14ac:dyDescent="0.2">
      <c r="A218" s="57">
        <v>46396</v>
      </c>
      <c r="B218" s="33" t="s">
        <v>523</v>
      </c>
      <c r="C218" s="30" t="s">
        <v>12</v>
      </c>
      <c r="D218" s="30" t="s">
        <v>33</v>
      </c>
      <c r="E218" s="30" t="s">
        <v>583</v>
      </c>
      <c r="F218" s="59" t="s">
        <v>767</v>
      </c>
      <c r="G218" s="33"/>
      <c r="H218" s="33"/>
      <c r="I218" s="30"/>
      <c r="J218" s="30" t="str">
        <f t="shared" ca="1" si="3"/>
        <v>Nadcházející</v>
      </c>
    </row>
    <row r="219" spans="1:10" ht="26.1" customHeight="1" x14ac:dyDescent="0.2">
      <c r="A219" s="57">
        <v>46397</v>
      </c>
      <c r="B219" s="33" t="s">
        <v>526</v>
      </c>
      <c r="C219" s="30" t="s">
        <v>6</v>
      </c>
      <c r="D219" s="30" t="s">
        <v>29</v>
      </c>
      <c r="E219" s="30" t="s">
        <v>668</v>
      </c>
      <c r="F219" s="59" t="s">
        <v>774</v>
      </c>
      <c r="G219" s="33"/>
      <c r="H219" s="33"/>
      <c r="I219" s="30"/>
      <c r="J219" s="30" t="str">
        <f t="shared" ca="1" si="3"/>
        <v>Nadcházející</v>
      </c>
    </row>
    <row r="220" spans="1:10" ht="26.1" customHeight="1" x14ac:dyDescent="0.2">
      <c r="A220" s="57">
        <v>46397</v>
      </c>
      <c r="B220" s="33" t="s">
        <v>526</v>
      </c>
      <c r="C220" s="30" t="s">
        <v>16</v>
      </c>
      <c r="D220" s="30" t="s">
        <v>34</v>
      </c>
      <c r="E220" s="30" t="s">
        <v>568</v>
      </c>
      <c r="F220" s="59" t="s">
        <v>577</v>
      </c>
      <c r="G220" s="33"/>
      <c r="H220" s="33"/>
      <c r="I220" s="30"/>
      <c r="J220" s="30" t="str">
        <f t="shared" ca="1" si="3"/>
        <v>Nadcházející</v>
      </c>
    </row>
    <row r="221" spans="1:10" ht="26.1" customHeight="1" x14ac:dyDescent="0.2">
      <c r="A221" s="57">
        <v>46397</v>
      </c>
      <c r="B221" s="33" t="s">
        <v>526</v>
      </c>
      <c r="C221" s="30" t="s">
        <v>22</v>
      </c>
      <c r="D221" s="30" t="s">
        <v>34</v>
      </c>
      <c r="E221" s="30" t="s">
        <v>775</v>
      </c>
      <c r="F221" s="59" t="s">
        <v>776</v>
      </c>
      <c r="G221" s="33"/>
      <c r="H221" s="33"/>
      <c r="I221" s="30"/>
      <c r="J221" s="30" t="str">
        <f t="shared" ca="1" si="3"/>
        <v>Nadcházející</v>
      </c>
    </row>
    <row r="222" spans="1:10" ht="26.1" customHeight="1" x14ac:dyDescent="0.2">
      <c r="A222" s="57">
        <v>46397</v>
      </c>
      <c r="B222" s="33" t="s">
        <v>526</v>
      </c>
      <c r="C222" s="30" t="s">
        <v>20</v>
      </c>
      <c r="D222" s="30" t="s">
        <v>34</v>
      </c>
      <c r="E222" s="30" t="s">
        <v>777</v>
      </c>
      <c r="F222" s="59" t="s">
        <v>540</v>
      </c>
      <c r="G222" s="33"/>
      <c r="H222" s="33"/>
      <c r="I222" s="30"/>
      <c r="J222" s="30" t="str">
        <f t="shared" ca="1" si="3"/>
        <v>Nadcházející</v>
      </c>
    </row>
    <row r="223" spans="1:10" ht="26.1" customHeight="1" x14ac:dyDescent="0.2">
      <c r="A223" s="57">
        <v>46397</v>
      </c>
      <c r="B223" s="33" t="s">
        <v>526</v>
      </c>
      <c r="C223" s="30" t="s">
        <v>2</v>
      </c>
      <c r="D223" s="30" t="s">
        <v>26</v>
      </c>
      <c r="E223" s="30" t="s">
        <v>572</v>
      </c>
      <c r="F223" s="59" t="s">
        <v>674</v>
      </c>
      <c r="G223" s="33"/>
      <c r="H223" s="33"/>
      <c r="I223" s="30"/>
      <c r="J223" s="30" t="str">
        <f t="shared" ca="1" si="3"/>
        <v>Nadcházející</v>
      </c>
    </row>
    <row r="224" spans="1:10" ht="26.1" customHeight="1" x14ac:dyDescent="0.2">
      <c r="A224" s="57">
        <v>46397</v>
      </c>
      <c r="B224" s="33" t="s">
        <v>526</v>
      </c>
      <c r="C224" s="30" t="s">
        <v>10</v>
      </c>
      <c r="D224" s="30" t="s">
        <v>32</v>
      </c>
      <c r="E224" s="30" t="s">
        <v>560</v>
      </c>
      <c r="F224" s="59" t="s">
        <v>778</v>
      </c>
      <c r="G224" s="33"/>
      <c r="H224" s="33"/>
      <c r="I224" s="30"/>
      <c r="J224" s="30" t="str">
        <f t="shared" ca="1" si="3"/>
        <v>Nadcházející</v>
      </c>
    </row>
    <row r="225" spans="1:10" ht="26.1" customHeight="1" x14ac:dyDescent="0.2">
      <c r="A225" s="57">
        <v>46397</v>
      </c>
      <c r="B225" s="33" t="s">
        <v>526</v>
      </c>
      <c r="C225" s="30" t="s">
        <v>11</v>
      </c>
      <c r="D225" s="30" t="s">
        <v>32</v>
      </c>
      <c r="E225" s="30" t="s">
        <v>574</v>
      </c>
      <c r="F225" s="59" t="s">
        <v>635</v>
      </c>
      <c r="G225" s="33"/>
      <c r="H225" s="33"/>
      <c r="I225" s="30"/>
      <c r="J225" s="30" t="str">
        <f t="shared" ca="1" si="3"/>
        <v>Nadcházející</v>
      </c>
    </row>
    <row r="226" spans="1:10" ht="26.1" customHeight="1" x14ac:dyDescent="0.2">
      <c r="A226" s="57">
        <v>46397</v>
      </c>
      <c r="B226" s="33" t="s">
        <v>526</v>
      </c>
      <c r="C226" s="30" t="s">
        <v>12</v>
      </c>
      <c r="D226" s="30" t="s">
        <v>33</v>
      </c>
      <c r="E226" s="30" t="s">
        <v>576</v>
      </c>
      <c r="F226" s="59" t="s">
        <v>779</v>
      </c>
      <c r="G226" s="33"/>
      <c r="H226" s="33"/>
      <c r="I226" s="30"/>
      <c r="J226" s="30" t="str">
        <f t="shared" ca="1" si="3"/>
        <v>Nadcházející</v>
      </c>
    </row>
    <row r="227" spans="1:10" ht="26.1" customHeight="1" x14ac:dyDescent="0.2">
      <c r="A227" s="57">
        <v>46403</v>
      </c>
      <c r="B227" s="33" t="s">
        <v>523</v>
      </c>
      <c r="C227" s="30" t="s">
        <v>7</v>
      </c>
      <c r="D227" s="30" t="s">
        <v>30</v>
      </c>
      <c r="E227" s="30" t="s">
        <v>549</v>
      </c>
      <c r="F227" s="59" t="s">
        <v>780</v>
      </c>
      <c r="G227" s="33"/>
      <c r="H227" s="33"/>
      <c r="I227" s="30"/>
      <c r="J227" s="30" t="str">
        <f t="shared" ca="1" si="3"/>
        <v>Nadcházející</v>
      </c>
    </row>
    <row r="228" spans="1:10" ht="26.1" customHeight="1" x14ac:dyDescent="0.2">
      <c r="A228" s="57">
        <v>46403</v>
      </c>
      <c r="B228" s="33" t="s">
        <v>523</v>
      </c>
      <c r="C228" s="30" t="s">
        <v>8</v>
      </c>
      <c r="D228" s="30" t="s">
        <v>31</v>
      </c>
      <c r="E228" s="30" t="s">
        <v>521</v>
      </c>
      <c r="F228" s="59" t="s">
        <v>663</v>
      </c>
      <c r="G228" s="33"/>
      <c r="H228" s="33"/>
      <c r="I228" s="30"/>
      <c r="J228" s="30" t="str">
        <f t="shared" ca="1" si="3"/>
        <v>Nadcházející</v>
      </c>
    </row>
    <row r="229" spans="1:10" ht="26.1" customHeight="1" x14ac:dyDescent="0.2">
      <c r="A229" s="57">
        <v>46403</v>
      </c>
      <c r="B229" s="33" t="s">
        <v>523</v>
      </c>
      <c r="C229" s="30" t="s">
        <v>9</v>
      </c>
      <c r="D229" s="30" t="s">
        <v>30</v>
      </c>
      <c r="E229" s="30" t="s">
        <v>552</v>
      </c>
      <c r="F229" s="59" t="s">
        <v>781</v>
      </c>
      <c r="G229" s="33"/>
      <c r="H229" s="33"/>
      <c r="I229" s="30"/>
      <c r="J229" s="30" t="str">
        <f t="shared" ca="1" si="3"/>
        <v>Nadcházející</v>
      </c>
    </row>
    <row r="230" spans="1:10" ht="26.1" customHeight="1" x14ac:dyDescent="0.2">
      <c r="A230" s="57">
        <v>46403</v>
      </c>
      <c r="B230" s="33" t="s">
        <v>523</v>
      </c>
      <c r="C230" s="30" t="s">
        <v>19</v>
      </c>
      <c r="D230" s="30" t="s">
        <v>26</v>
      </c>
      <c r="E230" s="30" t="s">
        <v>591</v>
      </c>
      <c r="F230" s="59" t="s">
        <v>782</v>
      </c>
      <c r="G230" s="33"/>
      <c r="H230" s="33"/>
      <c r="I230" s="30"/>
      <c r="J230" s="30" t="str">
        <f t="shared" ca="1" si="3"/>
        <v>Nadcházející</v>
      </c>
    </row>
    <row r="231" spans="1:10" ht="26.1" customHeight="1" x14ac:dyDescent="0.2">
      <c r="A231" s="57">
        <v>46403</v>
      </c>
      <c r="B231" s="33" t="s">
        <v>523</v>
      </c>
      <c r="C231" s="30" t="s">
        <v>17</v>
      </c>
      <c r="D231" s="30" t="s">
        <v>34</v>
      </c>
      <c r="E231" s="30" t="s">
        <v>311</v>
      </c>
      <c r="F231" s="59"/>
      <c r="G231" s="33"/>
      <c r="H231" s="33"/>
      <c r="I231" s="30"/>
      <c r="J231" s="30" t="str">
        <f t="shared" ca="1" si="3"/>
        <v>Nadcházející</v>
      </c>
    </row>
    <row r="232" spans="1:10" ht="26.1" customHeight="1" x14ac:dyDescent="0.2">
      <c r="A232" s="57">
        <v>46403</v>
      </c>
      <c r="B232" s="33" t="s">
        <v>523</v>
      </c>
      <c r="C232" s="30" t="s">
        <v>23</v>
      </c>
      <c r="D232" s="30" t="s">
        <v>26</v>
      </c>
      <c r="E232" s="30" t="s">
        <v>594</v>
      </c>
      <c r="F232" s="59" t="s">
        <v>782</v>
      </c>
      <c r="G232" s="33"/>
      <c r="H232" s="33"/>
      <c r="I232" s="30"/>
      <c r="J232" s="30" t="str">
        <f t="shared" ca="1" si="3"/>
        <v>Nadcházející</v>
      </c>
    </row>
    <row r="233" spans="1:10" ht="26.1" customHeight="1" x14ac:dyDescent="0.2">
      <c r="A233" s="57">
        <v>46403</v>
      </c>
      <c r="B233" s="33" t="s">
        <v>523</v>
      </c>
      <c r="C233" s="30" t="s">
        <v>1</v>
      </c>
      <c r="D233" s="30" t="s">
        <v>25</v>
      </c>
      <c r="E233" s="30" t="s">
        <v>558</v>
      </c>
      <c r="F233" s="59" t="s">
        <v>659</v>
      </c>
      <c r="G233" s="33"/>
      <c r="H233" s="33"/>
      <c r="I233" s="30"/>
      <c r="J233" s="30" t="str">
        <f t="shared" ca="1" si="3"/>
        <v>Nadcházející</v>
      </c>
    </row>
    <row r="234" spans="1:10" ht="26.1" customHeight="1" x14ac:dyDescent="0.2">
      <c r="A234" s="57">
        <v>46403</v>
      </c>
      <c r="B234" s="33" t="s">
        <v>523</v>
      </c>
      <c r="C234" s="30" t="s">
        <v>13</v>
      </c>
      <c r="D234" s="30" t="s">
        <v>32</v>
      </c>
      <c r="E234" s="30" t="s">
        <v>309</v>
      </c>
      <c r="F234" s="59"/>
      <c r="G234" s="33"/>
      <c r="H234" s="33"/>
      <c r="I234" s="30"/>
      <c r="J234" s="30" t="str">
        <f t="shared" ca="1" si="3"/>
        <v>Nadcházející</v>
      </c>
    </row>
    <row r="235" spans="1:10" ht="26.1" customHeight="1" x14ac:dyDescent="0.2">
      <c r="A235" s="57">
        <v>46403</v>
      </c>
      <c r="B235" s="33" t="s">
        <v>523</v>
      </c>
      <c r="C235" s="30" t="s">
        <v>14</v>
      </c>
      <c r="D235" s="30" t="s">
        <v>32</v>
      </c>
      <c r="E235" s="30" t="s">
        <v>309</v>
      </c>
      <c r="F235" s="59"/>
      <c r="G235" s="33"/>
      <c r="H235" s="33"/>
      <c r="I235" s="30"/>
      <c r="J235" s="30" t="str">
        <f t="shared" ca="1" si="3"/>
        <v>Nadcházející</v>
      </c>
    </row>
    <row r="236" spans="1:10" ht="26.1" customHeight="1" x14ac:dyDescent="0.2">
      <c r="A236" s="57">
        <v>46403</v>
      </c>
      <c r="B236" s="33" t="s">
        <v>523</v>
      </c>
      <c r="C236" s="30" t="s">
        <v>15</v>
      </c>
      <c r="D236" s="30" t="s">
        <v>30</v>
      </c>
      <c r="E236" s="30" t="s">
        <v>664</v>
      </c>
      <c r="F236" s="59" t="s">
        <v>662</v>
      </c>
      <c r="G236" s="33"/>
      <c r="H236" s="33"/>
      <c r="I236" s="30"/>
      <c r="J236" s="30" t="str">
        <f t="shared" ca="1" si="3"/>
        <v>Nadcházející</v>
      </c>
    </row>
    <row r="237" spans="1:10" ht="26.1" customHeight="1" x14ac:dyDescent="0.2">
      <c r="A237" s="57">
        <v>46403</v>
      </c>
      <c r="B237" s="33" t="s">
        <v>523</v>
      </c>
      <c r="C237" s="30" t="s">
        <v>3</v>
      </c>
      <c r="D237" s="30" t="s">
        <v>27</v>
      </c>
      <c r="E237" s="30" t="s">
        <v>665</v>
      </c>
      <c r="F237" s="59" t="s">
        <v>679</v>
      </c>
      <c r="G237" s="33"/>
      <c r="H237" s="33"/>
      <c r="I237" s="30"/>
      <c r="J237" s="30" t="str">
        <f t="shared" ca="1" si="3"/>
        <v>Nadcházející</v>
      </c>
    </row>
    <row r="238" spans="1:10" ht="26.1" customHeight="1" x14ac:dyDescent="0.2">
      <c r="A238" s="57">
        <v>46403</v>
      </c>
      <c r="B238" s="33" t="s">
        <v>523</v>
      </c>
      <c r="C238" s="30" t="s">
        <v>4</v>
      </c>
      <c r="D238" s="30" t="s">
        <v>28</v>
      </c>
      <c r="E238" s="30" t="s">
        <v>607</v>
      </c>
      <c r="F238" s="59" t="s">
        <v>683</v>
      </c>
      <c r="G238" s="33"/>
      <c r="H238" s="33"/>
      <c r="I238" s="30"/>
      <c r="J238" s="30" t="str">
        <f t="shared" ca="1" si="3"/>
        <v>Nadcházející</v>
      </c>
    </row>
    <row r="239" spans="1:10" ht="26.1" customHeight="1" x14ac:dyDescent="0.2">
      <c r="A239" s="57">
        <v>46403</v>
      </c>
      <c r="B239" s="33" t="s">
        <v>523</v>
      </c>
      <c r="C239" s="30" t="s">
        <v>5</v>
      </c>
      <c r="D239" s="30" t="s">
        <v>28</v>
      </c>
      <c r="E239" s="30" t="s">
        <v>605</v>
      </c>
      <c r="F239" s="59" t="s">
        <v>783</v>
      </c>
      <c r="G239" s="33"/>
      <c r="H239" s="33"/>
      <c r="I239" s="30"/>
      <c r="J239" s="30" t="str">
        <f t="shared" ca="1" si="3"/>
        <v>Nadcházející</v>
      </c>
    </row>
    <row r="240" spans="1:10" ht="26.1" customHeight="1" x14ac:dyDescent="0.2">
      <c r="A240" s="57">
        <v>46404</v>
      </c>
      <c r="B240" s="33" t="s">
        <v>526</v>
      </c>
      <c r="C240" s="30" t="s">
        <v>7</v>
      </c>
      <c r="D240" s="30" t="s">
        <v>30</v>
      </c>
      <c r="E240" s="30" t="s">
        <v>531</v>
      </c>
      <c r="F240" s="59" t="s">
        <v>784</v>
      </c>
      <c r="G240" s="33"/>
      <c r="H240" s="33"/>
      <c r="I240" s="30"/>
      <c r="J240" s="30" t="str">
        <f t="shared" ca="1" si="3"/>
        <v>Nadcházející</v>
      </c>
    </row>
    <row r="241" spans="1:10" ht="26.1" customHeight="1" x14ac:dyDescent="0.2">
      <c r="A241" s="57">
        <v>46404</v>
      </c>
      <c r="B241" s="33" t="s">
        <v>526</v>
      </c>
      <c r="C241" s="30" t="s">
        <v>8</v>
      </c>
      <c r="D241" s="30" t="s">
        <v>31</v>
      </c>
      <c r="E241" s="30" t="s">
        <v>638</v>
      </c>
      <c r="F241" s="59" t="s">
        <v>785</v>
      </c>
      <c r="G241" s="33"/>
      <c r="H241" s="33"/>
      <c r="I241" s="30"/>
      <c r="J241" s="30" t="str">
        <f t="shared" ca="1" si="3"/>
        <v>Nadcházející</v>
      </c>
    </row>
    <row r="242" spans="1:10" ht="26.1" customHeight="1" x14ac:dyDescent="0.2">
      <c r="A242" s="57">
        <v>46404</v>
      </c>
      <c r="B242" s="33" t="s">
        <v>526</v>
      </c>
      <c r="C242" s="30" t="s">
        <v>9</v>
      </c>
      <c r="D242" s="30" t="s">
        <v>30</v>
      </c>
      <c r="E242" s="30" t="s">
        <v>535</v>
      </c>
      <c r="F242" s="59" t="s">
        <v>786</v>
      </c>
      <c r="G242" s="33"/>
      <c r="H242" s="33"/>
      <c r="I242" s="30"/>
      <c r="J242" s="30" t="str">
        <f t="shared" ca="1" si="3"/>
        <v>Nadcházející</v>
      </c>
    </row>
    <row r="243" spans="1:10" ht="26.1" customHeight="1" x14ac:dyDescent="0.2">
      <c r="A243" s="57">
        <v>46404</v>
      </c>
      <c r="B243" s="33" t="s">
        <v>526</v>
      </c>
      <c r="C243" s="30" t="s">
        <v>21</v>
      </c>
      <c r="D243" s="30" t="s">
        <v>34</v>
      </c>
      <c r="E243" s="30" t="s">
        <v>772</v>
      </c>
      <c r="F243" s="59" t="s">
        <v>546</v>
      </c>
      <c r="G243" s="33"/>
      <c r="H243" s="33"/>
      <c r="I243" s="30"/>
      <c r="J243" s="30" t="str">
        <f t="shared" ca="1" si="3"/>
        <v>Nadcházející</v>
      </c>
    </row>
    <row r="244" spans="1:10" ht="26.1" customHeight="1" x14ac:dyDescent="0.2">
      <c r="A244" s="57">
        <v>46404</v>
      </c>
      <c r="B244" s="33" t="s">
        <v>526</v>
      </c>
      <c r="C244" s="30" t="s">
        <v>1</v>
      </c>
      <c r="D244" s="30" t="s">
        <v>25</v>
      </c>
      <c r="E244" s="30" t="s">
        <v>539</v>
      </c>
      <c r="F244" s="59" t="s">
        <v>787</v>
      </c>
      <c r="G244" s="33"/>
      <c r="H244" s="33"/>
      <c r="I244" s="30"/>
      <c r="J244" s="30" t="str">
        <f t="shared" ca="1" si="3"/>
        <v>Nadcházející</v>
      </c>
    </row>
    <row r="245" spans="1:10" ht="26.1" customHeight="1" x14ac:dyDescent="0.2">
      <c r="A245" s="57">
        <v>46404</v>
      </c>
      <c r="B245" s="33" t="s">
        <v>526</v>
      </c>
      <c r="C245" s="30" t="s">
        <v>13</v>
      </c>
      <c r="D245" s="30" t="s">
        <v>32</v>
      </c>
      <c r="E245" s="30" t="s">
        <v>309</v>
      </c>
      <c r="F245" s="59"/>
      <c r="G245" s="33"/>
      <c r="H245" s="33"/>
      <c r="I245" s="30"/>
      <c r="J245" s="30" t="str">
        <f t="shared" ca="1" si="3"/>
        <v>Nadcházející</v>
      </c>
    </row>
    <row r="246" spans="1:10" ht="26.1" customHeight="1" x14ac:dyDescent="0.2">
      <c r="A246" s="57">
        <v>46404</v>
      </c>
      <c r="B246" s="33" t="s">
        <v>526</v>
      </c>
      <c r="C246" s="30" t="s">
        <v>14</v>
      </c>
      <c r="D246" s="30" t="s">
        <v>32</v>
      </c>
      <c r="E246" s="30" t="s">
        <v>309</v>
      </c>
      <c r="F246" s="59"/>
      <c r="G246" s="33"/>
      <c r="H246" s="33"/>
      <c r="I246" s="30"/>
      <c r="J246" s="30" t="str">
        <f t="shared" ca="1" si="3"/>
        <v>Nadcházející</v>
      </c>
    </row>
    <row r="247" spans="1:10" ht="26.1" customHeight="1" x14ac:dyDescent="0.2">
      <c r="A247" s="57">
        <v>46404</v>
      </c>
      <c r="B247" s="33" t="s">
        <v>526</v>
      </c>
      <c r="C247" s="30" t="s">
        <v>15</v>
      </c>
      <c r="D247" s="30" t="s">
        <v>30</v>
      </c>
      <c r="E247" s="30" t="s">
        <v>652</v>
      </c>
      <c r="F247" s="59" t="s">
        <v>746</v>
      </c>
      <c r="G247" s="33"/>
      <c r="H247" s="33"/>
      <c r="I247" s="30"/>
      <c r="J247" s="30" t="str">
        <f t="shared" ca="1" si="3"/>
        <v>Nadcházející</v>
      </c>
    </row>
    <row r="248" spans="1:10" ht="26.1" customHeight="1" x14ac:dyDescent="0.2">
      <c r="A248" s="57">
        <v>46404</v>
      </c>
      <c r="B248" s="33" t="s">
        <v>526</v>
      </c>
      <c r="C248" s="30" t="s">
        <v>3</v>
      </c>
      <c r="D248" s="30" t="s">
        <v>27</v>
      </c>
      <c r="E248" s="30" t="s">
        <v>653</v>
      </c>
      <c r="F248" s="59" t="s">
        <v>788</v>
      </c>
      <c r="G248" s="33"/>
      <c r="H248" s="33"/>
      <c r="I248" s="30"/>
      <c r="J248" s="30" t="str">
        <f t="shared" ca="1" si="3"/>
        <v>Nadcházející</v>
      </c>
    </row>
    <row r="249" spans="1:10" ht="26.1" customHeight="1" x14ac:dyDescent="0.2">
      <c r="A249" s="57">
        <v>46404</v>
      </c>
      <c r="B249" s="33" t="s">
        <v>526</v>
      </c>
      <c r="C249" s="30" t="s">
        <v>4</v>
      </c>
      <c r="D249" s="30" t="s">
        <v>28</v>
      </c>
      <c r="E249" s="30" t="s">
        <v>605</v>
      </c>
      <c r="F249" s="59" t="s">
        <v>635</v>
      </c>
      <c r="G249" s="33"/>
      <c r="H249" s="33"/>
      <c r="I249" s="30"/>
      <c r="J249" s="30" t="str">
        <f t="shared" ca="1" si="3"/>
        <v>Nadcházející</v>
      </c>
    </row>
    <row r="250" spans="1:10" ht="26.1" customHeight="1" x14ac:dyDescent="0.2">
      <c r="A250" s="57">
        <v>46404</v>
      </c>
      <c r="B250" s="33" t="s">
        <v>526</v>
      </c>
      <c r="C250" s="30" t="s">
        <v>5</v>
      </c>
      <c r="D250" s="30" t="s">
        <v>28</v>
      </c>
      <c r="E250" s="30" t="s">
        <v>607</v>
      </c>
      <c r="F250" s="59" t="s">
        <v>679</v>
      </c>
      <c r="G250" s="33"/>
      <c r="H250" s="33"/>
      <c r="I250" s="30"/>
      <c r="J250" s="30" t="str">
        <f t="shared" ca="1" si="3"/>
        <v>Nadcházející</v>
      </c>
    </row>
    <row r="251" spans="1:10" ht="26.1" customHeight="1" x14ac:dyDescent="0.2">
      <c r="A251" s="57">
        <v>46407</v>
      </c>
      <c r="B251" s="33" t="s">
        <v>789</v>
      </c>
      <c r="C251" s="30" t="s">
        <v>14</v>
      </c>
      <c r="D251" s="30" t="s">
        <v>32</v>
      </c>
      <c r="E251" s="30" t="s">
        <v>324</v>
      </c>
      <c r="F251" s="59"/>
      <c r="G251" s="33"/>
      <c r="H251" s="33"/>
      <c r="I251" s="30"/>
      <c r="J251" s="30" t="str">
        <f t="shared" ca="1" si="3"/>
        <v>Nadcházející</v>
      </c>
    </row>
    <row r="252" spans="1:10" ht="26.1" customHeight="1" x14ac:dyDescent="0.2">
      <c r="A252" s="57">
        <v>46410</v>
      </c>
      <c r="B252" s="33" t="s">
        <v>523</v>
      </c>
      <c r="C252" s="30" t="s">
        <v>6</v>
      </c>
      <c r="D252" s="30" t="s">
        <v>29</v>
      </c>
      <c r="E252" s="30" t="s">
        <v>574</v>
      </c>
      <c r="F252" s="59" t="s">
        <v>790</v>
      </c>
      <c r="G252" s="33"/>
      <c r="H252" s="33"/>
      <c r="I252" s="30"/>
      <c r="J252" s="30" t="str">
        <f t="shared" ca="1" si="3"/>
        <v>Nadcházející</v>
      </c>
    </row>
    <row r="253" spans="1:10" ht="26.1" customHeight="1" x14ac:dyDescent="0.2">
      <c r="A253" s="57">
        <v>46410</v>
      </c>
      <c r="B253" s="33" t="s">
        <v>523</v>
      </c>
      <c r="C253" s="30" t="s">
        <v>18</v>
      </c>
      <c r="D253" s="30" t="s">
        <v>34</v>
      </c>
      <c r="E253" s="30" t="s">
        <v>332</v>
      </c>
      <c r="F253" s="59"/>
      <c r="G253" s="33"/>
      <c r="H253" s="33"/>
      <c r="I253" s="30"/>
      <c r="J253" s="30" t="str">
        <f t="shared" ca="1" si="3"/>
        <v>Nadcházející</v>
      </c>
    </row>
    <row r="254" spans="1:10" ht="26.1" customHeight="1" x14ac:dyDescent="0.2">
      <c r="A254" s="57">
        <v>46410</v>
      </c>
      <c r="B254" s="33" t="s">
        <v>523</v>
      </c>
      <c r="C254" s="30" t="s">
        <v>16</v>
      </c>
      <c r="D254" s="30" t="s">
        <v>34</v>
      </c>
      <c r="E254" s="30" t="s">
        <v>630</v>
      </c>
      <c r="F254" s="59" t="s">
        <v>662</v>
      </c>
      <c r="G254" s="33"/>
      <c r="H254" s="33"/>
      <c r="I254" s="30"/>
      <c r="J254" s="30" t="str">
        <f t="shared" ca="1" si="3"/>
        <v>Nadcházející</v>
      </c>
    </row>
    <row r="255" spans="1:10" ht="26.1" customHeight="1" x14ac:dyDescent="0.2">
      <c r="A255" s="57">
        <v>46410</v>
      </c>
      <c r="B255" s="33" t="s">
        <v>523</v>
      </c>
      <c r="C255" s="30" t="s">
        <v>22</v>
      </c>
      <c r="D255" s="30" t="s">
        <v>34</v>
      </c>
      <c r="E255" s="30" t="s">
        <v>772</v>
      </c>
      <c r="F255" s="59" t="s">
        <v>791</v>
      </c>
      <c r="G255" s="33"/>
      <c r="H255" s="33"/>
      <c r="I255" s="30"/>
      <c r="J255" s="30" t="str">
        <f t="shared" ca="1" si="3"/>
        <v>Nadcházející</v>
      </c>
    </row>
    <row r="256" spans="1:10" ht="26.1" customHeight="1" x14ac:dyDescent="0.2">
      <c r="A256" s="57">
        <v>46410</v>
      </c>
      <c r="B256" s="33" t="s">
        <v>523</v>
      </c>
      <c r="C256" s="30" t="s">
        <v>20</v>
      </c>
      <c r="D256" s="30" t="s">
        <v>34</v>
      </c>
      <c r="E256" s="30" t="s">
        <v>527</v>
      </c>
      <c r="F256" s="59" t="s">
        <v>639</v>
      </c>
      <c r="G256" s="33"/>
      <c r="H256" s="33"/>
      <c r="I256" s="30"/>
      <c r="J256" s="30" t="str">
        <f t="shared" ca="1" si="3"/>
        <v>Nadcházející</v>
      </c>
    </row>
    <row r="257" spans="1:10" ht="26.1" customHeight="1" x14ac:dyDescent="0.2">
      <c r="A257" s="57">
        <v>46410</v>
      </c>
      <c r="B257" s="33" t="s">
        <v>523</v>
      </c>
      <c r="C257" s="30" t="s">
        <v>2</v>
      </c>
      <c r="D257" s="30" t="s">
        <v>26</v>
      </c>
      <c r="E257" s="30" t="s">
        <v>630</v>
      </c>
      <c r="F257" s="59" t="s">
        <v>783</v>
      </c>
      <c r="G257" s="33"/>
      <c r="H257" s="33"/>
      <c r="I257" s="30"/>
      <c r="J257" s="30" t="str">
        <f t="shared" ca="1" si="3"/>
        <v>Nadcházející</v>
      </c>
    </row>
    <row r="258" spans="1:10" ht="26.1" customHeight="1" x14ac:dyDescent="0.2">
      <c r="A258" s="57">
        <v>46410</v>
      </c>
      <c r="B258" s="33" t="s">
        <v>523</v>
      </c>
      <c r="C258" s="30" t="s">
        <v>10</v>
      </c>
      <c r="D258" s="30" t="s">
        <v>32</v>
      </c>
      <c r="E258" s="30" t="s">
        <v>685</v>
      </c>
      <c r="F258" s="59" t="s">
        <v>679</v>
      </c>
      <c r="G258" s="33"/>
      <c r="H258" s="33"/>
      <c r="I258" s="30"/>
      <c r="J258" s="30" t="str">
        <f t="shared" ca="1" si="3"/>
        <v>Nadcházející</v>
      </c>
    </row>
    <row r="259" spans="1:10" ht="26.1" customHeight="1" x14ac:dyDescent="0.2">
      <c r="A259" s="57">
        <v>46410</v>
      </c>
      <c r="B259" s="33" t="s">
        <v>523</v>
      </c>
      <c r="C259" s="30" t="s">
        <v>11</v>
      </c>
      <c r="D259" s="30" t="s">
        <v>32</v>
      </c>
      <c r="E259" s="30" t="s">
        <v>653</v>
      </c>
      <c r="F259" s="59" t="s">
        <v>723</v>
      </c>
      <c r="G259" s="33"/>
      <c r="H259" s="33"/>
      <c r="I259" s="30"/>
      <c r="J259" s="30" t="str">
        <f t="shared" ca="1" si="3"/>
        <v>Nadcházející</v>
      </c>
    </row>
    <row r="260" spans="1:10" ht="26.1" customHeight="1" x14ac:dyDescent="0.2">
      <c r="A260" s="57">
        <v>46410</v>
      </c>
      <c r="B260" s="33" t="s">
        <v>523</v>
      </c>
      <c r="C260" s="30" t="s">
        <v>12</v>
      </c>
      <c r="D260" s="30" t="s">
        <v>33</v>
      </c>
      <c r="E260" s="30" t="s">
        <v>634</v>
      </c>
      <c r="F260" s="59" t="s">
        <v>792</v>
      </c>
      <c r="G260" s="33"/>
      <c r="H260" s="33"/>
      <c r="I260" s="30"/>
      <c r="J260" s="30" t="str">
        <f t="shared" ca="1" si="3"/>
        <v>Nadcházející</v>
      </c>
    </row>
    <row r="261" spans="1:10" ht="26.1" customHeight="1" x14ac:dyDescent="0.2">
      <c r="A261" s="57">
        <v>46411</v>
      </c>
      <c r="B261" s="33" t="s">
        <v>526</v>
      </c>
      <c r="C261" s="30" t="s">
        <v>6</v>
      </c>
      <c r="D261" s="30" t="s">
        <v>29</v>
      </c>
      <c r="E261" s="30" t="s">
        <v>706</v>
      </c>
      <c r="F261" s="59" t="s">
        <v>793</v>
      </c>
      <c r="G261" s="33"/>
      <c r="H261" s="33"/>
      <c r="I261" s="30"/>
      <c r="J261" s="30" t="str">
        <f t="shared" ref="J261:J324" ca="1" si="4">IF(A261&lt;TODAY(),"Odehráno",IF(A261=TODAY(),"Dnes","Nadcházející"))</f>
        <v>Nadcházející</v>
      </c>
    </row>
    <row r="262" spans="1:10" ht="26.1" customHeight="1" x14ac:dyDescent="0.2">
      <c r="A262" s="57">
        <v>46411</v>
      </c>
      <c r="B262" s="33" t="s">
        <v>526</v>
      </c>
      <c r="C262" s="30" t="s">
        <v>22</v>
      </c>
      <c r="D262" s="30" t="s">
        <v>34</v>
      </c>
      <c r="E262" s="30" t="s">
        <v>772</v>
      </c>
      <c r="F262" s="59" t="s">
        <v>564</v>
      </c>
      <c r="G262" s="33"/>
      <c r="H262" s="33"/>
      <c r="I262" s="30"/>
      <c r="J262" s="30" t="str">
        <f t="shared" ca="1" si="4"/>
        <v>Nadcházející</v>
      </c>
    </row>
    <row r="263" spans="1:10" ht="26.1" customHeight="1" x14ac:dyDescent="0.2">
      <c r="A263" s="57">
        <v>46411</v>
      </c>
      <c r="B263" s="33" t="s">
        <v>526</v>
      </c>
      <c r="C263" s="30" t="s">
        <v>20</v>
      </c>
      <c r="D263" s="30" t="s">
        <v>34</v>
      </c>
      <c r="E263" s="30" t="s">
        <v>521</v>
      </c>
      <c r="F263" s="59" t="s">
        <v>794</v>
      </c>
      <c r="G263" s="33"/>
      <c r="H263" s="33"/>
      <c r="I263" s="30"/>
      <c r="J263" s="30" t="str">
        <f t="shared" ca="1" si="4"/>
        <v>Nadcházející</v>
      </c>
    </row>
    <row r="264" spans="1:10" ht="26.1" customHeight="1" x14ac:dyDescent="0.2">
      <c r="A264" s="57">
        <v>46411</v>
      </c>
      <c r="B264" s="33" t="s">
        <v>526</v>
      </c>
      <c r="C264" s="30" t="s">
        <v>2</v>
      </c>
      <c r="D264" s="30" t="s">
        <v>26</v>
      </c>
      <c r="E264" s="30" t="s">
        <v>623</v>
      </c>
      <c r="F264" s="59" t="s">
        <v>679</v>
      </c>
      <c r="G264" s="33"/>
      <c r="H264" s="33"/>
      <c r="I264" s="30"/>
      <c r="J264" s="30" t="str">
        <f t="shared" ca="1" si="4"/>
        <v>Nadcházející</v>
      </c>
    </row>
    <row r="265" spans="1:10" ht="26.1" customHeight="1" x14ac:dyDescent="0.2">
      <c r="A265" s="57">
        <v>46411</v>
      </c>
      <c r="B265" s="33" t="s">
        <v>526</v>
      </c>
      <c r="C265" s="30" t="s">
        <v>10</v>
      </c>
      <c r="D265" s="30" t="s">
        <v>32</v>
      </c>
      <c r="E265" s="30" t="s">
        <v>676</v>
      </c>
      <c r="F265" s="59" t="s">
        <v>795</v>
      </c>
      <c r="G265" s="33"/>
      <c r="H265" s="33"/>
      <c r="I265" s="30"/>
      <c r="J265" s="30" t="str">
        <f t="shared" ca="1" si="4"/>
        <v>Nadcházející</v>
      </c>
    </row>
    <row r="266" spans="1:10" ht="26.1" customHeight="1" x14ac:dyDescent="0.2">
      <c r="A266" s="57">
        <v>46411</v>
      </c>
      <c r="B266" s="33" t="s">
        <v>526</v>
      </c>
      <c r="C266" s="30" t="s">
        <v>11</v>
      </c>
      <c r="D266" s="30" t="s">
        <v>32</v>
      </c>
      <c r="E266" s="30" t="s">
        <v>677</v>
      </c>
      <c r="F266" s="59" t="s">
        <v>733</v>
      </c>
      <c r="G266" s="33"/>
      <c r="H266" s="33"/>
      <c r="I266" s="30"/>
      <c r="J266" s="30" t="str">
        <f t="shared" ca="1" si="4"/>
        <v>Nadcházející</v>
      </c>
    </row>
    <row r="267" spans="1:10" ht="26.1" customHeight="1" x14ac:dyDescent="0.2">
      <c r="A267" s="57">
        <v>46411</v>
      </c>
      <c r="B267" s="33" t="s">
        <v>526</v>
      </c>
      <c r="C267" s="30" t="s">
        <v>12</v>
      </c>
      <c r="D267" s="30" t="s">
        <v>33</v>
      </c>
      <c r="E267" s="30" t="s">
        <v>627</v>
      </c>
      <c r="F267" s="59" t="s">
        <v>718</v>
      </c>
      <c r="G267" s="33"/>
      <c r="H267" s="33"/>
      <c r="I267" s="30"/>
      <c r="J267" s="30" t="str">
        <f t="shared" ca="1" si="4"/>
        <v>Nadcházející</v>
      </c>
    </row>
    <row r="268" spans="1:10" ht="26.1" customHeight="1" x14ac:dyDescent="0.2">
      <c r="A268" s="57">
        <v>46414</v>
      </c>
      <c r="B268" s="33" t="s">
        <v>789</v>
      </c>
      <c r="C268" s="30" t="s">
        <v>13</v>
      </c>
      <c r="D268" s="30" t="s">
        <v>32</v>
      </c>
      <c r="E268" s="30" t="s">
        <v>324</v>
      </c>
      <c r="F268" s="59"/>
      <c r="G268" s="33"/>
      <c r="H268" s="33"/>
      <c r="I268" s="30"/>
      <c r="J268" s="30" t="str">
        <f t="shared" ca="1" si="4"/>
        <v>Nadcházející</v>
      </c>
    </row>
    <row r="269" spans="1:10" ht="26.1" customHeight="1" x14ac:dyDescent="0.2">
      <c r="A269" s="57">
        <v>46424</v>
      </c>
      <c r="B269" s="33" t="s">
        <v>523</v>
      </c>
      <c r="C269" s="30" t="s">
        <v>7</v>
      </c>
      <c r="D269" s="30" t="s">
        <v>30</v>
      </c>
      <c r="E269" s="30" t="s">
        <v>583</v>
      </c>
      <c r="F269" s="59" t="s">
        <v>796</v>
      </c>
      <c r="G269" s="33"/>
      <c r="H269" s="33"/>
      <c r="I269" s="30"/>
      <c r="J269" s="30" t="str">
        <f t="shared" ca="1" si="4"/>
        <v>Nadcházející</v>
      </c>
    </row>
    <row r="270" spans="1:10" ht="26.1" customHeight="1" x14ac:dyDescent="0.2">
      <c r="A270" s="57">
        <v>46424</v>
      </c>
      <c r="B270" s="33" t="s">
        <v>523</v>
      </c>
      <c r="C270" s="30" t="s">
        <v>8</v>
      </c>
      <c r="D270" s="30" t="s">
        <v>31</v>
      </c>
      <c r="E270" s="30" t="s">
        <v>309</v>
      </c>
      <c r="F270" s="59"/>
      <c r="G270" s="33"/>
      <c r="H270" s="33"/>
      <c r="I270" s="30"/>
      <c r="J270" s="30" t="str">
        <f t="shared" ca="1" si="4"/>
        <v>Nadcházející</v>
      </c>
    </row>
    <row r="271" spans="1:10" ht="26.1" customHeight="1" x14ac:dyDescent="0.2">
      <c r="A271" s="57">
        <v>46424</v>
      </c>
      <c r="B271" s="33" t="s">
        <v>523</v>
      </c>
      <c r="C271" s="30" t="s">
        <v>9</v>
      </c>
      <c r="D271" s="30" t="s">
        <v>30</v>
      </c>
      <c r="E271" s="30" t="s">
        <v>610</v>
      </c>
      <c r="F271" s="59" t="s">
        <v>797</v>
      </c>
      <c r="G271" s="33"/>
      <c r="H271" s="33"/>
      <c r="I271" s="30"/>
      <c r="J271" s="30" t="str">
        <f t="shared" ca="1" si="4"/>
        <v>Nadcházející</v>
      </c>
    </row>
    <row r="272" spans="1:10" ht="26.1" customHeight="1" x14ac:dyDescent="0.2">
      <c r="A272" s="57">
        <v>46424</v>
      </c>
      <c r="B272" s="33" t="s">
        <v>523</v>
      </c>
      <c r="C272" s="30" t="s">
        <v>19</v>
      </c>
      <c r="D272" s="30" t="s">
        <v>26</v>
      </c>
      <c r="E272" s="30" t="s">
        <v>630</v>
      </c>
      <c r="F272" s="59" t="s">
        <v>798</v>
      </c>
      <c r="G272" s="33"/>
      <c r="H272" s="33"/>
      <c r="I272" s="30"/>
      <c r="J272" s="30" t="str">
        <f t="shared" ca="1" si="4"/>
        <v>Nadcházející</v>
      </c>
    </row>
    <row r="273" spans="1:10" ht="26.1" customHeight="1" x14ac:dyDescent="0.2">
      <c r="A273" s="57">
        <v>46424</v>
      </c>
      <c r="B273" s="33" t="s">
        <v>523</v>
      </c>
      <c r="C273" s="30" t="s">
        <v>17</v>
      </c>
      <c r="D273" s="30" t="s">
        <v>34</v>
      </c>
      <c r="E273" s="30" t="s">
        <v>799</v>
      </c>
      <c r="F273" s="59" t="s">
        <v>800</v>
      </c>
      <c r="G273" s="33"/>
      <c r="H273" s="33"/>
      <c r="I273" s="30"/>
      <c r="J273" s="30" t="str">
        <f t="shared" ca="1" si="4"/>
        <v>Nadcházející</v>
      </c>
    </row>
    <row r="274" spans="1:10" ht="26.1" customHeight="1" x14ac:dyDescent="0.2">
      <c r="A274" s="57">
        <v>46424</v>
      </c>
      <c r="B274" s="33" t="s">
        <v>523</v>
      </c>
      <c r="C274" s="30" t="s">
        <v>23</v>
      </c>
      <c r="D274" s="30" t="s">
        <v>26</v>
      </c>
      <c r="E274" s="30" t="s">
        <v>570</v>
      </c>
      <c r="F274" s="59" t="s">
        <v>801</v>
      </c>
      <c r="G274" s="33"/>
      <c r="H274" s="33"/>
      <c r="I274" s="30"/>
      <c r="J274" s="30" t="str">
        <f t="shared" ca="1" si="4"/>
        <v>Nadcházející</v>
      </c>
    </row>
    <row r="275" spans="1:10" ht="26.1" customHeight="1" x14ac:dyDescent="0.2">
      <c r="A275" s="57">
        <v>46424</v>
      </c>
      <c r="B275" s="33" t="s">
        <v>523</v>
      </c>
      <c r="C275" s="30" t="s">
        <v>21</v>
      </c>
      <c r="D275" s="30" t="s">
        <v>34</v>
      </c>
      <c r="E275" s="30" t="s">
        <v>617</v>
      </c>
      <c r="F275" s="59" t="s">
        <v>802</v>
      </c>
      <c r="G275" s="33"/>
      <c r="H275" s="33"/>
      <c r="I275" s="30"/>
      <c r="J275" s="30" t="str">
        <f t="shared" ca="1" si="4"/>
        <v>Nadcházející</v>
      </c>
    </row>
    <row r="276" spans="1:10" ht="26.1" customHeight="1" x14ac:dyDescent="0.2">
      <c r="A276" s="57">
        <v>46424</v>
      </c>
      <c r="B276" s="33" t="s">
        <v>523</v>
      </c>
      <c r="C276" s="30" t="s">
        <v>1</v>
      </c>
      <c r="D276" s="30" t="s">
        <v>25</v>
      </c>
      <c r="E276" s="30" t="s">
        <v>583</v>
      </c>
      <c r="F276" s="59" t="s">
        <v>530</v>
      </c>
      <c r="G276" s="33"/>
      <c r="H276" s="33"/>
      <c r="I276" s="30"/>
      <c r="J276" s="30" t="str">
        <f t="shared" ca="1" si="4"/>
        <v>Nadcházející</v>
      </c>
    </row>
    <row r="277" spans="1:10" ht="26.1" customHeight="1" x14ac:dyDescent="0.2">
      <c r="A277" s="57">
        <v>46424</v>
      </c>
      <c r="B277" s="33" t="s">
        <v>523</v>
      </c>
      <c r="C277" s="30" t="s">
        <v>13</v>
      </c>
      <c r="D277" s="30" t="s">
        <v>32</v>
      </c>
      <c r="E277" s="30" t="s">
        <v>353</v>
      </c>
      <c r="F277" s="59"/>
      <c r="G277" s="33"/>
      <c r="H277" s="33"/>
      <c r="I277" s="30"/>
      <c r="J277" s="30" t="str">
        <f t="shared" ca="1" si="4"/>
        <v>Nadcházející</v>
      </c>
    </row>
    <row r="278" spans="1:10" ht="26.1" customHeight="1" x14ac:dyDescent="0.2">
      <c r="A278" s="57">
        <v>46424</v>
      </c>
      <c r="B278" s="33" t="s">
        <v>523</v>
      </c>
      <c r="C278" s="30" t="s">
        <v>14</v>
      </c>
      <c r="D278" s="30" t="s">
        <v>32</v>
      </c>
      <c r="E278" s="30" t="s">
        <v>353</v>
      </c>
      <c r="F278" s="59"/>
      <c r="G278" s="33"/>
      <c r="H278" s="33"/>
      <c r="I278" s="30"/>
      <c r="J278" s="30" t="str">
        <f t="shared" ca="1" si="4"/>
        <v>Nadcházející</v>
      </c>
    </row>
    <row r="279" spans="1:10" ht="26.1" customHeight="1" x14ac:dyDescent="0.2">
      <c r="A279" s="57">
        <v>46424</v>
      </c>
      <c r="B279" s="33" t="s">
        <v>523</v>
      </c>
      <c r="C279" s="30" t="s">
        <v>15</v>
      </c>
      <c r="D279" s="30" t="s">
        <v>30</v>
      </c>
      <c r="E279" s="30" t="s">
        <v>563</v>
      </c>
      <c r="F279" s="59" t="s">
        <v>736</v>
      </c>
      <c r="G279" s="33"/>
      <c r="H279" s="33"/>
      <c r="I279" s="30"/>
      <c r="J279" s="30" t="str">
        <f t="shared" ca="1" si="4"/>
        <v>Nadcházející</v>
      </c>
    </row>
    <row r="280" spans="1:10" ht="26.1" customHeight="1" x14ac:dyDescent="0.2">
      <c r="A280" s="57">
        <v>46424</v>
      </c>
      <c r="B280" s="33" t="s">
        <v>523</v>
      </c>
      <c r="C280" s="30" t="s">
        <v>4</v>
      </c>
      <c r="D280" s="30" t="s">
        <v>28</v>
      </c>
      <c r="E280" s="30" t="s">
        <v>524</v>
      </c>
      <c r="F280" s="59" t="s">
        <v>795</v>
      </c>
      <c r="G280" s="33"/>
      <c r="H280" s="33"/>
      <c r="I280" s="30"/>
      <c r="J280" s="30" t="str">
        <f t="shared" ca="1" si="4"/>
        <v>Nadcházející</v>
      </c>
    </row>
    <row r="281" spans="1:10" ht="26.1" customHeight="1" x14ac:dyDescent="0.2">
      <c r="A281" s="57">
        <v>46424</v>
      </c>
      <c r="B281" s="33" t="s">
        <v>523</v>
      </c>
      <c r="C281" s="30" t="s">
        <v>5</v>
      </c>
      <c r="D281" s="30" t="s">
        <v>28</v>
      </c>
      <c r="E281" s="30" t="s">
        <v>754</v>
      </c>
      <c r="F281" s="59" t="s">
        <v>710</v>
      </c>
      <c r="G281" s="33"/>
      <c r="H281" s="33"/>
      <c r="I281" s="30"/>
      <c r="J281" s="30" t="str">
        <f t="shared" ca="1" si="4"/>
        <v>Nadcházející</v>
      </c>
    </row>
    <row r="282" spans="1:10" ht="26.1" customHeight="1" x14ac:dyDescent="0.2">
      <c r="A282" s="57">
        <v>46425</v>
      </c>
      <c r="B282" s="33" t="s">
        <v>526</v>
      </c>
      <c r="C282" s="30" t="s">
        <v>7</v>
      </c>
      <c r="D282" s="30" t="s">
        <v>30</v>
      </c>
      <c r="E282" s="30" t="s">
        <v>585</v>
      </c>
      <c r="F282" s="59" t="s">
        <v>803</v>
      </c>
      <c r="G282" s="33"/>
      <c r="H282" s="33"/>
      <c r="I282" s="30"/>
      <c r="J282" s="30" t="str">
        <f t="shared" ca="1" si="4"/>
        <v>Nadcházející</v>
      </c>
    </row>
    <row r="283" spans="1:10" ht="26.1" customHeight="1" x14ac:dyDescent="0.2">
      <c r="A283" s="57">
        <v>46425</v>
      </c>
      <c r="B283" s="33" t="s">
        <v>526</v>
      </c>
      <c r="C283" s="30" t="s">
        <v>8</v>
      </c>
      <c r="D283" s="30" t="s">
        <v>31</v>
      </c>
      <c r="E283" s="30" t="s">
        <v>309</v>
      </c>
      <c r="F283" s="59"/>
      <c r="G283" s="33"/>
      <c r="H283" s="33"/>
      <c r="I283" s="30"/>
      <c r="J283" s="30" t="str">
        <f t="shared" ca="1" si="4"/>
        <v>Nadcházející</v>
      </c>
    </row>
    <row r="284" spans="1:10" ht="26.1" customHeight="1" x14ac:dyDescent="0.2">
      <c r="A284" s="57">
        <v>46425</v>
      </c>
      <c r="B284" s="33" t="s">
        <v>526</v>
      </c>
      <c r="C284" s="30" t="s">
        <v>9</v>
      </c>
      <c r="D284" s="30" t="s">
        <v>30</v>
      </c>
      <c r="E284" s="30" t="s">
        <v>804</v>
      </c>
      <c r="F284" s="59" t="s">
        <v>805</v>
      </c>
      <c r="G284" s="33"/>
      <c r="H284" s="33"/>
      <c r="I284" s="30"/>
      <c r="J284" s="30" t="str">
        <f t="shared" ca="1" si="4"/>
        <v>Nadcházející</v>
      </c>
    </row>
    <row r="285" spans="1:10" ht="26.1" customHeight="1" x14ac:dyDescent="0.2">
      <c r="A285" s="57">
        <v>46425</v>
      </c>
      <c r="B285" s="33" t="s">
        <v>526</v>
      </c>
      <c r="C285" s="30" t="s">
        <v>1</v>
      </c>
      <c r="D285" s="30" t="s">
        <v>25</v>
      </c>
      <c r="E285" s="30" t="s">
        <v>597</v>
      </c>
      <c r="F285" s="59" t="s">
        <v>542</v>
      </c>
      <c r="G285" s="33"/>
      <c r="H285" s="33"/>
      <c r="I285" s="30"/>
      <c r="J285" s="30" t="str">
        <f t="shared" ca="1" si="4"/>
        <v>Nadcházející</v>
      </c>
    </row>
    <row r="286" spans="1:10" ht="26.1" customHeight="1" x14ac:dyDescent="0.2">
      <c r="A286" s="57">
        <v>46425</v>
      </c>
      <c r="B286" s="33" t="s">
        <v>526</v>
      </c>
      <c r="C286" s="30" t="s">
        <v>13</v>
      </c>
      <c r="D286" s="30" t="s">
        <v>32</v>
      </c>
      <c r="E286" s="30" t="s">
        <v>353</v>
      </c>
      <c r="F286" s="59"/>
      <c r="G286" s="33"/>
      <c r="H286" s="33"/>
      <c r="I286" s="30"/>
      <c r="J286" s="30" t="str">
        <f t="shared" ca="1" si="4"/>
        <v>Nadcházející</v>
      </c>
    </row>
    <row r="287" spans="1:10" ht="26.1" customHeight="1" x14ac:dyDescent="0.2">
      <c r="A287" s="57">
        <v>46425</v>
      </c>
      <c r="B287" s="33" t="s">
        <v>526</v>
      </c>
      <c r="C287" s="30" t="s">
        <v>14</v>
      </c>
      <c r="D287" s="30" t="s">
        <v>32</v>
      </c>
      <c r="E287" s="30" t="s">
        <v>353</v>
      </c>
      <c r="F287" s="59"/>
      <c r="G287" s="33"/>
      <c r="H287" s="33"/>
      <c r="I287" s="30"/>
      <c r="J287" s="30" t="str">
        <f t="shared" ca="1" si="4"/>
        <v>Nadcházející</v>
      </c>
    </row>
    <row r="288" spans="1:10" ht="26.1" customHeight="1" x14ac:dyDescent="0.2">
      <c r="A288" s="57">
        <v>46425</v>
      </c>
      <c r="B288" s="33" t="s">
        <v>526</v>
      </c>
      <c r="C288" s="30" t="s">
        <v>15</v>
      </c>
      <c r="D288" s="30" t="s">
        <v>30</v>
      </c>
      <c r="E288" s="30" t="s">
        <v>697</v>
      </c>
      <c r="F288" s="59" t="s">
        <v>674</v>
      </c>
      <c r="G288" s="33"/>
      <c r="H288" s="33"/>
      <c r="I288" s="30"/>
      <c r="J288" s="30" t="str">
        <f t="shared" ca="1" si="4"/>
        <v>Nadcházející</v>
      </c>
    </row>
    <row r="289" spans="1:10" ht="26.1" customHeight="1" x14ac:dyDescent="0.2">
      <c r="A289" s="57">
        <v>46425</v>
      </c>
      <c r="B289" s="33" t="s">
        <v>526</v>
      </c>
      <c r="C289" s="30" t="s">
        <v>4</v>
      </c>
      <c r="D289" s="30" t="s">
        <v>28</v>
      </c>
      <c r="E289" s="30" t="s">
        <v>754</v>
      </c>
      <c r="F289" s="59" t="s">
        <v>733</v>
      </c>
      <c r="G289" s="33"/>
      <c r="H289" s="33"/>
      <c r="I289" s="30"/>
      <c r="J289" s="30" t="str">
        <f t="shared" ca="1" si="4"/>
        <v>Nadcházející</v>
      </c>
    </row>
    <row r="290" spans="1:10" ht="26.1" customHeight="1" x14ac:dyDescent="0.2">
      <c r="A290" s="57">
        <v>46425</v>
      </c>
      <c r="B290" s="33" t="s">
        <v>526</v>
      </c>
      <c r="C290" s="30" t="s">
        <v>5</v>
      </c>
      <c r="D290" s="30" t="s">
        <v>28</v>
      </c>
      <c r="E290" s="30" t="s">
        <v>524</v>
      </c>
      <c r="F290" s="59" t="s">
        <v>806</v>
      </c>
      <c r="G290" s="33"/>
      <c r="H290" s="33"/>
      <c r="I290" s="30"/>
      <c r="J290" s="30" t="str">
        <f t="shared" ca="1" si="4"/>
        <v>Nadcházející</v>
      </c>
    </row>
    <row r="291" spans="1:10" ht="26.1" customHeight="1" x14ac:dyDescent="0.2">
      <c r="A291" s="57">
        <v>46431</v>
      </c>
      <c r="B291" s="33" t="s">
        <v>523</v>
      </c>
      <c r="C291" s="30" t="s">
        <v>18</v>
      </c>
      <c r="D291" s="30" t="s">
        <v>34</v>
      </c>
      <c r="E291" s="30" t="s">
        <v>570</v>
      </c>
      <c r="F291" s="59" t="s">
        <v>807</v>
      </c>
      <c r="G291" s="33"/>
      <c r="H291" s="33"/>
      <c r="I291" s="30"/>
      <c r="J291" s="30" t="str">
        <f t="shared" ca="1" si="4"/>
        <v>Nadcházející</v>
      </c>
    </row>
    <row r="292" spans="1:10" ht="26.1" customHeight="1" x14ac:dyDescent="0.2">
      <c r="A292" s="57">
        <v>46431</v>
      </c>
      <c r="B292" s="33" t="s">
        <v>523</v>
      </c>
      <c r="C292" s="30" t="s">
        <v>16</v>
      </c>
      <c r="D292" s="30" t="s">
        <v>34</v>
      </c>
      <c r="E292" s="30" t="s">
        <v>634</v>
      </c>
      <c r="F292" s="59" t="s">
        <v>808</v>
      </c>
      <c r="G292" s="33"/>
      <c r="H292" s="33"/>
      <c r="I292" s="30"/>
      <c r="J292" s="30" t="str">
        <f t="shared" ca="1" si="4"/>
        <v>Nadcházející</v>
      </c>
    </row>
    <row r="293" spans="1:10" ht="26.1" customHeight="1" x14ac:dyDescent="0.2">
      <c r="A293" s="57">
        <v>46431</v>
      </c>
      <c r="B293" s="33" t="s">
        <v>523</v>
      </c>
      <c r="C293" s="30" t="s">
        <v>20</v>
      </c>
      <c r="D293" s="30" t="s">
        <v>34</v>
      </c>
      <c r="E293" s="30" t="s">
        <v>541</v>
      </c>
      <c r="F293" s="59" t="s">
        <v>701</v>
      </c>
      <c r="G293" s="33"/>
      <c r="H293" s="33"/>
      <c r="I293" s="30"/>
      <c r="J293" s="30" t="str">
        <f t="shared" ca="1" si="4"/>
        <v>Nadcházející</v>
      </c>
    </row>
    <row r="294" spans="1:10" ht="26.1" customHeight="1" x14ac:dyDescent="0.2">
      <c r="A294" s="57">
        <v>46431</v>
      </c>
      <c r="B294" s="33" t="s">
        <v>523</v>
      </c>
      <c r="C294" s="30" t="s">
        <v>2</v>
      </c>
      <c r="D294" s="30" t="s">
        <v>26</v>
      </c>
      <c r="E294" s="30" t="s">
        <v>684</v>
      </c>
      <c r="F294" s="59" t="s">
        <v>723</v>
      </c>
      <c r="G294" s="33"/>
      <c r="H294" s="33"/>
      <c r="I294" s="30"/>
      <c r="J294" s="30" t="str">
        <f t="shared" ca="1" si="4"/>
        <v>Nadcházející</v>
      </c>
    </row>
    <row r="295" spans="1:10" ht="26.1" customHeight="1" x14ac:dyDescent="0.2">
      <c r="A295" s="57">
        <v>46431</v>
      </c>
      <c r="B295" s="33" t="s">
        <v>523</v>
      </c>
      <c r="C295" s="30" t="s">
        <v>10</v>
      </c>
      <c r="D295" s="30" t="s">
        <v>32</v>
      </c>
      <c r="E295" s="30" t="s">
        <v>309</v>
      </c>
      <c r="F295" s="59"/>
      <c r="G295" s="33"/>
      <c r="H295" s="33"/>
      <c r="I295" s="30"/>
      <c r="J295" s="30" t="str">
        <f t="shared" ca="1" si="4"/>
        <v>Nadcházející</v>
      </c>
    </row>
    <row r="296" spans="1:10" ht="26.1" customHeight="1" x14ac:dyDescent="0.2">
      <c r="A296" s="57">
        <v>46431</v>
      </c>
      <c r="B296" s="33" t="s">
        <v>523</v>
      </c>
      <c r="C296" s="30" t="s">
        <v>11</v>
      </c>
      <c r="D296" s="30" t="s">
        <v>32</v>
      </c>
      <c r="E296" s="30" t="s">
        <v>309</v>
      </c>
      <c r="F296" s="59"/>
      <c r="G296" s="33"/>
      <c r="H296" s="33"/>
      <c r="I296" s="30"/>
      <c r="J296" s="30" t="str">
        <f t="shared" ca="1" si="4"/>
        <v>Nadcházející</v>
      </c>
    </row>
    <row r="297" spans="1:10" ht="26.1" customHeight="1" x14ac:dyDescent="0.2">
      <c r="A297" s="57">
        <v>46432</v>
      </c>
      <c r="B297" s="33" t="s">
        <v>526</v>
      </c>
      <c r="C297" s="30" t="s">
        <v>20</v>
      </c>
      <c r="D297" s="30" t="s">
        <v>34</v>
      </c>
      <c r="E297" s="30" t="s">
        <v>570</v>
      </c>
      <c r="F297" s="59" t="s">
        <v>718</v>
      </c>
      <c r="G297" s="33"/>
      <c r="H297" s="33"/>
      <c r="I297" s="30"/>
      <c r="J297" s="30" t="str">
        <f t="shared" ca="1" si="4"/>
        <v>Nadcházející</v>
      </c>
    </row>
    <row r="298" spans="1:10" ht="26.1" customHeight="1" x14ac:dyDescent="0.2">
      <c r="A298" s="57">
        <v>46432</v>
      </c>
      <c r="B298" s="33" t="s">
        <v>526</v>
      </c>
      <c r="C298" s="30" t="s">
        <v>2</v>
      </c>
      <c r="D298" s="30" t="s">
        <v>26</v>
      </c>
      <c r="E298" s="30" t="s">
        <v>675</v>
      </c>
      <c r="F298" s="59" t="s">
        <v>809</v>
      </c>
      <c r="G298" s="33"/>
      <c r="H298" s="33"/>
      <c r="I298" s="30"/>
      <c r="J298" s="30" t="str">
        <f t="shared" ca="1" si="4"/>
        <v>Nadcházející</v>
      </c>
    </row>
    <row r="299" spans="1:10" ht="26.1" customHeight="1" x14ac:dyDescent="0.2">
      <c r="A299" s="57">
        <v>46432</v>
      </c>
      <c r="B299" s="33" t="s">
        <v>526</v>
      </c>
      <c r="C299" s="30" t="s">
        <v>10</v>
      </c>
      <c r="D299" s="30" t="s">
        <v>32</v>
      </c>
      <c r="E299" s="30" t="s">
        <v>309</v>
      </c>
      <c r="F299" s="59"/>
      <c r="G299" s="33"/>
      <c r="H299" s="33"/>
      <c r="I299" s="30"/>
      <c r="J299" s="30" t="str">
        <f t="shared" ca="1" si="4"/>
        <v>Nadcházející</v>
      </c>
    </row>
    <row r="300" spans="1:10" ht="26.1" customHeight="1" x14ac:dyDescent="0.2">
      <c r="A300" s="57">
        <v>46432</v>
      </c>
      <c r="B300" s="33" t="s">
        <v>526</v>
      </c>
      <c r="C300" s="30" t="s">
        <v>11</v>
      </c>
      <c r="D300" s="30" t="s">
        <v>32</v>
      </c>
      <c r="E300" s="30" t="s">
        <v>309</v>
      </c>
      <c r="F300" s="59"/>
      <c r="G300" s="33"/>
      <c r="H300" s="33"/>
      <c r="I300" s="30"/>
      <c r="J300" s="30" t="str">
        <f t="shared" ca="1" si="4"/>
        <v>Nadcházející</v>
      </c>
    </row>
    <row r="301" spans="1:10" ht="26.1" customHeight="1" x14ac:dyDescent="0.2">
      <c r="A301" s="57">
        <v>46432</v>
      </c>
      <c r="B301" s="33" t="s">
        <v>526</v>
      </c>
      <c r="C301" s="30" t="s">
        <v>12</v>
      </c>
      <c r="D301" s="30" t="s">
        <v>33</v>
      </c>
      <c r="E301" s="30" t="s">
        <v>548</v>
      </c>
      <c r="F301" s="59" t="s">
        <v>810</v>
      </c>
      <c r="G301" s="33"/>
      <c r="H301" s="33"/>
      <c r="I301" s="30"/>
      <c r="J301" s="30" t="str">
        <f t="shared" ca="1" si="4"/>
        <v>Nadcházející</v>
      </c>
    </row>
    <row r="302" spans="1:10" ht="26.1" customHeight="1" x14ac:dyDescent="0.2">
      <c r="A302" s="57">
        <v>46438</v>
      </c>
      <c r="B302" s="33" t="s">
        <v>523</v>
      </c>
      <c r="C302" s="30" t="s">
        <v>7</v>
      </c>
      <c r="D302" s="30" t="s">
        <v>30</v>
      </c>
      <c r="E302" s="30" t="s">
        <v>657</v>
      </c>
      <c r="F302" s="59" t="s">
        <v>811</v>
      </c>
      <c r="G302" s="33"/>
      <c r="H302" s="33"/>
      <c r="I302" s="30"/>
      <c r="J302" s="30" t="str">
        <f t="shared" ca="1" si="4"/>
        <v>Nadcházející</v>
      </c>
    </row>
    <row r="303" spans="1:10" ht="26.1" customHeight="1" x14ac:dyDescent="0.2">
      <c r="A303" s="57">
        <v>46438</v>
      </c>
      <c r="B303" s="33" t="s">
        <v>523</v>
      </c>
      <c r="C303" s="30" t="s">
        <v>8</v>
      </c>
      <c r="D303" s="30" t="s">
        <v>31</v>
      </c>
      <c r="E303" s="30" t="s">
        <v>353</v>
      </c>
      <c r="F303" s="59"/>
      <c r="G303" s="33"/>
      <c r="H303" s="33"/>
      <c r="I303" s="30"/>
      <c r="J303" s="30" t="str">
        <f t="shared" ca="1" si="4"/>
        <v>Nadcházející</v>
      </c>
    </row>
    <row r="304" spans="1:10" ht="26.1" customHeight="1" x14ac:dyDescent="0.2">
      <c r="A304" s="57">
        <v>46438</v>
      </c>
      <c r="B304" s="33" t="s">
        <v>523</v>
      </c>
      <c r="C304" s="30" t="s">
        <v>9</v>
      </c>
      <c r="D304" s="30" t="s">
        <v>30</v>
      </c>
      <c r="E304" s="30" t="s">
        <v>556</v>
      </c>
      <c r="F304" s="59" t="s">
        <v>812</v>
      </c>
      <c r="G304" s="33"/>
      <c r="H304" s="33"/>
      <c r="I304" s="30"/>
      <c r="J304" s="30" t="str">
        <f t="shared" ca="1" si="4"/>
        <v>Nadcházející</v>
      </c>
    </row>
    <row r="305" spans="1:10" ht="26.1" customHeight="1" x14ac:dyDescent="0.2">
      <c r="A305" s="57">
        <v>46438</v>
      </c>
      <c r="B305" s="33" t="s">
        <v>523</v>
      </c>
      <c r="C305" s="30" t="s">
        <v>19</v>
      </c>
      <c r="D305" s="30" t="s">
        <v>26</v>
      </c>
      <c r="E305" s="30" t="s">
        <v>556</v>
      </c>
      <c r="F305" s="59" t="s">
        <v>813</v>
      </c>
      <c r="G305" s="33"/>
      <c r="H305" s="33"/>
      <c r="I305" s="30"/>
      <c r="J305" s="30" t="str">
        <f t="shared" ca="1" si="4"/>
        <v>Nadcházející</v>
      </c>
    </row>
    <row r="306" spans="1:10" ht="26.1" customHeight="1" x14ac:dyDescent="0.2">
      <c r="A306" s="57">
        <v>46438</v>
      </c>
      <c r="B306" s="33" t="s">
        <v>523</v>
      </c>
      <c r="C306" s="30" t="s">
        <v>17</v>
      </c>
      <c r="D306" s="30" t="s">
        <v>34</v>
      </c>
      <c r="E306" s="30" t="s">
        <v>630</v>
      </c>
      <c r="F306" s="59" t="s">
        <v>814</v>
      </c>
      <c r="G306" s="33"/>
      <c r="H306" s="33"/>
      <c r="I306" s="30"/>
      <c r="J306" s="30" t="str">
        <f t="shared" ca="1" si="4"/>
        <v>Nadcházející</v>
      </c>
    </row>
    <row r="307" spans="1:10" ht="26.1" customHeight="1" x14ac:dyDescent="0.2">
      <c r="A307" s="57">
        <v>46438</v>
      </c>
      <c r="B307" s="33" t="s">
        <v>523</v>
      </c>
      <c r="C307" s="30" t="s">
        <v>21</v>
      </c>
      <c r="D307" s="30" t="s">
        <v>34</v>
      </c>
      <c r="E307" s="30" t="s">
        <v>521</v>
      </c>
      <c r="F307" s="59" t="s">
        <v>815</v>
      </c>
      <c r="G307" s="33"/>
      <c r="H307" s="33"/>
      <c r="I307" s="30"/>
      <c r="J307" s="30" t="str">
        <f t="shared" ca="1" si="4"/>
        <v>Nadcházející</v>
      </c>
    </row>
    <row r="308" spans="1:10" ht="26.1" customHeight="1" x14ac:dyDescent="0.2">
      <c r="A308" s="57">
        <v>46438</v>
      </c>
      <c r="B308" s="33" t="s">
        <v>523</v>
      </c>
      <c r="C308" s="30" t="s">
        <v>1</v>
      </c>
      <c r="D308" s="30" t="s">
        <v>25</v>
      </c>
      <c r="E308" s="30" t="s">
        <v>647</v>
      </c>
      <c r="F308" s="59" t="s">
        <v>663</v>
      </c>
      <c r="G308" s="33"/>
      <c r="H308" s="33"/>
      <c r="I308" s="30"/>
      <c r="J308" s="30" t="str">
        <f t="shared" ca="1" si="4"/>
        <v>Nadcházející</v>
      </c>
    </row>
    <row r="309" spans="1:10" ht="26.1" customHeight="1" x14ac:dyDescent="0.2">
      <c r="A309" s="57">
        <v>46438</v>
      </c>
      <c r="B309" s="33" t="s">
        <v>523</v>
      </c>
      <c r="C309" s="30" t="s">
        <v>13</v>
      </c>
      <c r="D309" s="30" t="s">
        <v>32</v>
      </c>
      <c r="E309" s="30" t="s">
        <v>381</v>
      </c>
      <c r="F309" s="59"/>
      <c r="G309" s="33"/>
      <c r="H309" s="33"/>
      <c r="I309" s="30"/>
      <c r="J309" s="30" t="str">
        <f t="shared" ca="1" si="4"/>
        <v>Nadcházející</v>
      </c>
    </row>
    <row r="310" spans="1:10" ht="26.1" customHeight="1" x14ac:dyDescent="0.2">
      <c r="A310" s="57">
        <v>46438</v>
      </c>
      <c r="B310" s="33" t="s">
        <v>523</v>
      </c>
      <c r="C310" s="30" t="s">
        <v>14</v>
      </c>
      <c r="D310" s="30" t="s">
        <v>32</v>
      </c>
      <c r="E310" s="30" t="s">
        <v>381</v>
      </c>
      <c r="F310" s="59"/>
      <c r="G310" s="33"/>
      <c r="H310" s="33"/>
      <c r="I310" s="30"/>
      <c r="J310" s="30" t="str">
        <f t="shared" ca="1" si="4"/>
        <v>Nadcházející</v>
      </c>
    </row>
    <row r="311" spans="1:10" ht="26.1" customHeight="1" x14ac:dyDescent="0.2">
      <c r="A311" s="57">
        <v>46438</v>
      </c>
      <c r="B311" s="33" t="s">
        <v>523</v>
      </c>
      <c r="C311" s="30" t="s">
        <v>4</v>
      </c>
      <c r="D311" s="30" t="s">
        <v>28</v>
      </c>
      <c r="E311" s="30" t="s">
        <v>698</v>
      </c>
      <c r="F311" s="59" t="s">
        <v>816</v>
      </c>
      <c r="G311" s="33"/>
      <c r="H311" s="33"/>
      <c r="I311" s="30"/>
      <c r="J311" s="30" t="str">
        <f t="shared" ca="1" si="4"/>
        <v>Nadcházející</v>
      </c>
    </row>
    <row r="312" spans="1:10" ht="26.1" customHeight="1" x14ac:dyDescent="0.2">
      <c r="A312" s="57">
        <v>46438</v>
      </c>
      <c r="B312" s="33" t="s">
        <v>523</v>
      </c>
      <c r="C312" s="30" t="s">
        <v>5</v>
      </c>
      <c r="D312" s="30" t="s">
        <v>28</v>
      </c>
      <c r="E312" s="30" t="s">
        <v>556</v>
      </c>
      <c r="F312" s="59" t="s">
        <v>713</v>
      </c>
      <c r="G312" s="33"/>
      <c r="H312" s="33"/>
      <c r="I312" s="30"/>
      <c r="J312" s="30" t="str">
        <f t="shared" ca="1" si="4"/>
        <v>Nadcházející</v>
      </c>
    </row>
    <row r="313" spans="1:10" ht="26.1" customHeight="1" x14ac:dyDescent="0.2">
      <c r="A313" s="57">
        <v>46439</v>
      </c>
      <c r="B313" s="33" t="s">
        <v>526</v>
      </c>
      <c r="C313" s="30" t="s">
        <v>7</v>
      </c>
      <c r="D313" s="30" t="s">
        <v>30</v>
      </c>
      <c r="E313" s="30" t="s">
        <v>636</v>
      </c>
      <c r="F313" s="59" t="s">
        <v>817</v>
      </c>
      <c r="G313" s="33"/>
      <c r="H313" s="33"/>
      <c r="I313" s="30"/>
      <c r="J313" s="30" t="str">
        <f t="shared" ca="1" si="4"/>
        <v>Nadcházející</v>
      </c>
    </row>
    <row r="314" spans="1:10" ht="26.1" customHeight="1" x14ac:dyDescent="0.2">
      <c r="A314" s="57">
        <v>46439</v>
      </c>
      <c r="B314" s="33" t="s">
        <v>526</v>
      </c>
      <c r="C314" s="30" t="s">
        <v>8</v>
      </c>
      <c r="D314" s="30" t="s">
        <v>31</v>
      </c>
      <c r="E314" s="30" t="s">
        <v>353</v>
      </c>
      <c r="F314" s="59"/>
      <c r="G314" s="33"/>
      <c r="H314" s="33"/>
      <c r="I314" s="30"/>
      <c r="J314" s="30" t="str">
        <f t="shared" ca="1" si="4"/>
        <v>Nadcházející</v>
      </c>
    </row>
    <row r="315" spans="1:10" ht="26.1" customHeight="1" x14ac:dyDescent="0.2">
      <c r="A315" s="57">
        <v>46439</v>
      </c>
      <c r="B315" s="33" t="s">
        <v>526</v>
      </c>
      <c r="C315" s="30" t="s">
        <v>9</v>
      </c>
      <c r="D315" s="30" t="s">
        <v>30</v>
      </c>
      <c r="E315" s="30" t="s">
        <v>640</v>
      </c>
      <c r="F315" s="59" t="s">
        <v>818</v>
      </c>
      <c r="G315" s="33"/>
      <c r="H315" s="33"/>
      <c r="I315" s="30"/>
      <c r="J315" s="30" t="str">
        <f t="shared" ca="1" si="4"/>
        <v>Nadcházející</v>
      </c>
    </row>
    <row r="316" spans="1:10" ht="26.1" customHeight="1" x14ac:dyDescent="0.2">
      <c r="A316" s="57">
        <v>46439</v>
      </c>
      <c r="B316" s="33" t="s">
        <v>526</v>
      </c>
      <c r="C316" s="30" t="s">
        <v>1</v>
      </c>
      <c r="D316" s="30" t="s">
        <v>25</v>
      </c>
      <c r="E316" s="30" t="s">
        <v>661</v>
      </c>
      <c r="F316" s="59" t="s">
        <v>724</v>
      </c>
      <c r="G316" s="33"/>
      <c r="H316" s="33"/>
      <c r="I316" s="30"/>
      <c r="J316" s="30" t="str">
        <f t="shared" ca="1" si="4"/>
        <v>Nadcházející</v>
      </c>
    </row>
    <row r="317" spans="1:10" ht="26.1" customHeight="1" x14ac:dyDescent="0.2">
      <c r="A317" s="57">
        <v>46439</v>
      </c>
      <c r="B317" s="33" t="s">
        <v>526</v>
      </c>
      <c r="C317" s="30" t="s">
        <v>13</v>
      </c>
      <c r="D317" s="30" t="s">
        <v>32</v>
      </c>
      <c r="E317" s="30" t="s">
        <v>381</v>
      </c>
      <c r="F317" s="59"/>
      <c r="G317" s="33"/>
      <c r="H317" s="33"/>
      <c r="I317" s="30"/>
      <c r="J317" s="30" t="str">
        <f t="shared" ca="1" si="4"/>
        <v>Nadcházející</v>
      </c>
    </row>
    <row r="318" spans="1:10" ht="26.1" customHeight="1" x14ac:dyDescent="0.2">
      <c r="A318" s="57">
        <v>46439</v>
      </c>
      <c r="B318" s="33" t="s">
        <v>526</v>
      </c>
      <c r="C318" s="30" t="s">
        <v>14</v>
      </c>
      <c r="D318" s="30" t="s">
        <v>32</v>
      </c>
      <c r="E318" s="30" t="s">
        <v>381</v>
      </c>
      <c r="F318" s="59"/>
      <c r="G318" s="33"/>
      <c r="H318" s="33"/>
      <c r="I318" s="30"/>
      <c r="J318" s="30" t="str">
        <f t="shared" ca="1" si="4"/>
        <v>Nadcházející</v>
      </c>
    </row>
    <row r="319" spans="1:10" ht="26.1" customHeight="1" x14ac:dyDescent="0.2">
      <c r="A319" s="57">
        <v>46439</v>
      </c>
      <c r="B319" s="33" t="s">
        <v>526</v>
      </c>
      <c r="C319" s="30" t="s">
        <v>4</v>
      </c>
      <c r="D319" s="30" t="s">
        <v>28</v>
      </c>
      <c r="E319" s="30" t="s">
        <v>556</v>
      </c>
      <c r="F319" s="59" t="s">
        <v>716</v>
      </c>
      <c r="G319" s="33"/>
      <c r="H319" s="33"/>
      <c r="I319" s="30"/>
      <c r="J319" s="30" t="str">
        <f t="shared" ca="1" si="4"/>
        <v>Nadcházející</v>
      </c>
    </row>
    <row r="320" spans="1:10" ht="26.1" customHeight="1" x14ac:dyDescent="0.2">
      <c r="A320" s="57">
        <v>46439</v>
      </c>
      <c r="B320" s="33" t="s">
        <v>526</v>
      </c>
      <c r="C320" s="30" t="s">
        <v>5</v>
      </c>
      <c r="D320" s="30" t="s">
        <v>28</v>
      </c>
      <c r="E320" s="30" t="s">
        <v>698</v>
      </c>
      <c r="F320" s="59" t="s">
        <v>534</v>
      </c>
      <c r="G320" s="33"/>
      <c r="H320" s="33"/>
      <c r="I320" s="30"/>
      <c r="J320" s="30" t="str">
        <f t="shared" ca="1" si="4"/>
        <v>Nadcházející</v>
      </c>
    </row>
    <row r="321" spans="1:10" ht="26.1" customHeight="1" x14ac:dyDescent="0.2">
      <c r="A321" s="57">
        <v>46445</v>
      </c>
      <c r="B321" s="33" t="s">
        <v>523</v>
      </c>
      <c r="C321" s="30" t="s">
        <v>22</v>
      </c>
      <c r="D321" s="30" t="s">
        <v>34</v>
      </c>
      <c r="E321" s="30" t="s">
        <v>548</v>
      </c>
      <c r="F321" s="59" t="s">
        <v>819</v>
      </c>
      <c r="G321" s="33"/>
      <c r="H321" s="33"/>
      <c r="I321" s="30"/>
      <c r="J321" s="30" t="str">
        <f t="shared" ca="1" si="4"/>
        <v>Nadcházející</v>
      </c>
    </row>
    <row r="322" spans="1:10" ht="26.1" customHeight="1" x14ac:dyDescent="0.2">
      <c r="A322" s="57">
        <v>46445</v>
      </c>
      <c r="B322" s="33" t="s">
        <v>523</v>
      </c>
      <c r="C322" s="30" t="s">
        <v>20</v>
      </c>
      <c r="D322" s="30" t="s">
        <v>34</v>
      </c>
      <c r="E322" s="30" t="s">
        <v>698</v>
      </c>
      <c r="F322" s="59" t="s">
        <v>820</v>
      </c>
      <c r="G322" s="33"/>
      <c r="H322" s="33"/>
      <c r="I322" s="30"/>
      <c r="J322" s="30" t="str">
        <f t="shared" ca="1" si="4"/>
        <v>Nadcházející</v>
      </c>
    </row>
    <row r="323" spans="1:10" ht="26.1" customHeight="1" x14ac:dyDescent="0.2">
      <c r="A323" s="57">
        <v>46445</v>
      </c>
      <c r="B323" s="33" t="s">
        <v>523</v>
      </c>
      <c r="C323" s="30" t="s">
        <v>11</v>
      </c>
      <c r="D323" s="30" t="s">
        <v>32</v>
      </c>
      <c r="E323" s="30" t="s">
        <v>353</v>
      </c>
      <c r="F323" s="59"/>
      <c r="G323" s="33"/>
      <c r="H323" s="33"/>
      <c r="I323" s="30"/>
      <c r="J323" s="30" t="str">
        <f t="shared" ca="1" si="4"/>
        <v>Nadcházející</v>
      </c>
    </row>
    <row r="324" spans="1:10" ht="26.1" customHeight="1" x14ac:dyDescent="0.2">
      <c r="A324" s="57">
        <v>46445</v>
      </c>
      <c r="B324" s="33" t="s">
        <v>523</v>
      </c>
      <c r="C324" s="30" t="s">
        <v>12</v>
      </c>
      <c r="D324" s="30" t="s">
        <v>33</v>
      </c>
      <c r="E324" s="30" t="s">
        <v>610</v>
      </c>
      <c r="F324" s="59" t="s">
        <v>821</v>
      </c>
      <c r="G324" s="33"/>
      <c r="H324" s="33"/>
      <c r="I324" s="30"/>
      <c r="J324" s="30" t="str">
        <f t="shared" ca="1" si="4"/>
        <v>Nadcházející</v>
      </c>
    </row>
    <row r="325" spans="1:10" ht="26.1" customHeight="1" x14ac:dyDescent="0.2">
      <c r="A325" s="57">
        <v>46446</v>
      </c>
      <c r="B325" s="33" t="s">
        <v>526</v>
      </c>
      <c r="C325" s="30" t="s">
        <v>20</v>
      </c>
      <c r="D325" s="30" t="s">
        <v>34</v>
      </c>
      <c r="E325" s="30" t="s">
        <v>556</v>
      </c>
      <c r="F325" s="59" t="s">
        <v>822</v>
      </c>
      <c r="G325" s="33"/>
      <c r="H325" s="33"/>
      <c r="I325" s="30"/>
      <c r="J325" s="30" t="str">
        <f t="shared" ref="J325:J388" ca="1" si="5">IF(A325&lt;TODAY(),"Odehráno",IF(A325=TODAY(),"Dnes","Nadcházející"))</f>
        <v>Nadcházející</v>
      </c>
    </row>
    <row r="326" spans="1:10" ht="26.1" customHeight="1" x14ac:dyDescent="0.2">
      <c r="A326" s="57">
        <v>46446</v>
      </c>
      <c r="B326" s="33" t="s">
        <v>526</v>
      </c>
      <c r="C326" s="30" t="s">
        <v>11</v>
      </c>
      <c r="D326" s="30" t="s">
        <v>32</v>
      </c>
      <c r="E326" s="30" t="s">
        <v>353</v>
      </c>
      <c r="F326" s="59"/>
      <c r="G326" s="33"/>
      <c r="H326" s="33"/>
      <c r="I326" s="30"/>
      <c r="J326" s="30" t="str">
        <f t="shared" ca="1" si="5"/>
        <v>Nadcházející</v>
      </c>
    </row>
    <row r="327" spans="1:10" ht="26.1" customHeight="1" x14ac:dyDescent="0.2">
      <c r="A327" s="57">
        <v>46446</v>
      </c>
      <c r="B327" s="33" t="s">
        <v>526</v>
      </c>
      <c r="C327" s="30" t="s">
        <v>12</v>
      </c>
      <c r="D327" s="30" t="s">
        <v>33</v>
      </c>
      <c r="E327" s="30" t="s">
        <v>545</v>
      </c>
      <c r="F327" s="59" t="s">
        <v>785</v>
      </c>
      <c r="G327" s="33"/>
      <c r="H327" s="33"/>
      <c r="I327" s="30"/>
      <c r="J327" s="30" t="str">
        <f t="shared" ca="1" si="5"/>
        <v>Nadcházející</v>
      </c>
    </row>
    <row r="328" spans="1:10" ht="26.1" customHeight="1" x14ac:dyDescent="0.2">
      <c r="A328" s="57">
        <v>46452</v>
      </c>
      <c r="B328" s="33" t="s">
        <v>523</v>
      </c>
      <c r="C328" s="30" t="s">
        <v>8</v>
      </c>
      <c r="D328" s="30" t="s">
        <v>31</v>
      </c>
      <c r="E328" s="30" t="s">
        <v>381</v>
      </c>
      <c r="F328" s="59"/>
      <c r="G328" s="33"/>
      <c r="H328" s="33"/>
      <c r="I328" s="30"/>
      <c r="J328" s="30" t="str">
        <f t="shared" ca="1" si="5"/>
        <v>Nadcházející</v>
      </c>
    </row>
    <row r="329" spans="1:10" ht="26.1" customHeight="1" x14ac:dyDescent="0.2">
      <c r="A329" s="57">
        <v>46452</v>
      </c>
      <c r="B329" s="33" t="s">
        <v>523</v>
      </c>
      <c r="C329" s="30" t="s">
        <v>18</v>
      </c>
      <c r="D329" s="30" t="s">
        <v>34</v>
      </c>
      <c r="E329" s="30" t="s">
        <v>579</v>
      </c>
      <c r="F329" s="59" t="s">
        <v>823</v>
      </c>
      <c r="G329" s="33"/>
      <c r="H329" s="33"/>
      <c r="I329" s="30"/>
      <c r="J329" s="30" t="str">
        <f t="shared" ca="1" si="5"/>
        <v>Nadcházející</v>
      </c>
    </row>
    <row r="330" spans="1:10" ht="26.1" customHeight="1" x14ac:dyDescent="0.2">
      <c r="A330" s="57">
        <v>46452</v>
      </c>
      <c r="B330" s="33" t="s">
        <v>523</v>
      </c>
      <c r="C330" s="30" t="s">
        <v>16</v>
      </c>
      <c r="D330" s="30" t="s">
        <v>34</v>
      </c>
      <c r="E330" s="30" t="s">
        <v>539</v>
      </c>
      <c r="F330" s="59" t="s">
        <v>628</v>
      </c>
      <c r="G330" s="33"/>
      <c r="H330" s="33"/>
      <c r="I330" s="30"/>
      <c r="J330" s="30" t="str">
        <f t="shared" ca="1" si="5"/>
        <v>Nadcházející</v>
      </c>
    </row>
    <row r="331" spans="1:10" ht="26.1" customHeight="1" x14ac:dyDescent="0.2">
      <c r="A331" s="57">
        <v>46452</v>
      </c>
      <c r="B331" s="33" t="s">
        <v>523</v>
      </c>
      <c r="C331" s="30" t="s">
        <v>23</v>
      </c>
      <c r="D331" s="30" t="s">
        <v>26</v>
      </c>
      <c r="E331" s="30" t="s">
        <v>630</v>
      </c>
      <c r="F331" s="59" t="s">
        <v>824</v>
      </c>
      <c r="G331" s="33"/>
      <c r="H331" s="33"/>
      <c r="I331" s="30"/>
      <c r="J331" s="30" t="str">
        <f t="shared" ca="1" si="5"/>
        <v>Nadcházející</v>
      </c>
    </row>
    <row r="332" spans="1:10" ht="26.1" customHeight="1" x14ac:dyDescent="0.2">
      <c r="A332" s="57">
        <v>46452</v>
      </c>
      <c r="B332" s="33" t="s">
        <v>523</v>
      </c>
      <c r="C332" s="30" t="s">
        <v>20</v>
      </c>
      <c r="D332" s="30" t="s">
        <v>34</v>
      </c>
      <c r="E332" s="30" t="s">
        <v>775</v>
      </c>
      <c r="F332" s="59" t="s">
        <v>791</v>
      </c>
      <c r="G332" s="33"/>
      <c r="H332" s="33"/>
      <c r="I332" s="30"/>
      <c r="J332" s="30" t="str">
        <f t="shared" ca="1" si="5"/>
        <v>Nadcházející</v>
      </c>
    </row>
    <row r="333" spans="1:10" ht="26.1" customHeight="1" x14ac:dyDescent="0.2">
      <c r="A333" s="57">
        <v>46452</v>
      </c>
      <c r="B333" s="33" t="s">
        <v>523</v>
      </c>
      <c r="C333" s="30" t="s">
        <v>2</v>
      </c>
      <c r="D333" s="30" t="s">
        <v>26</v>
      </c>
      <c r="E333" s="30" t="s">
        <v>715</v>
      </c>
      <c r="F333" s="59" t="s">
        <v>825</v>
      </c>
      <c r="G333" s="33"/>
      <c r="H333" s="33"/>
      <c r="I333" s="30"/>
      <c r="J333" s="30" t="str">
        <f t="shared" ca="1" si="5"/>
        <v>Nadcházející</v>
      </c>
    </row>
    <row r="334" spans="1:10" ht="26.1" customHeight="1" x14ac:dyDescent="0.2">
      <c r="A334" s="57">
        <v>46452</v>
      </c>
      <c r="B334" s="33" t="s">
        <v>523</v>
      </c>
      <c r="C334" s="30" t="s">
        <v>10</v>
      </c>
      <c r="D334" s="30" t="s">
        <v>32</v>
      </c>
      <c r="E334" s="30" t="s">
        <v>353</v>
      </c>
      <c r="F334" s="59"/>
      <c r="G334" s="33"/>
      <c r="H334" s="33"/>
      <c r="I334" s="30"/>
      <c r="J334" s="30" t="str">
        <f t="shared" ca="1" si="5"/>
        <v>Nadcházející</v>
      </c>
    </row>
    <row r="335" spans="1:10" ht="26.1" customHeight="1" x14ac:dyDescent="0.2">
      <c r="A335" s="57">
        <v>46453</v>
      </c>
      <c r="B335" s="33" t="s">
        <v>526</v>
      </c>
      <c r="C335" s="30" t="s">
        <v>8</v>
      </c>
      <c r="D335" s="30" t="s">
        <v>31</v>
      </c>
      <c r="E335" s="30" t="s">
        <v>381</v>
      </c>
      <c r="F335" s="59"/>
      <c r="G335" s="33"/>
      <c r="H335" s="33"/>
      <c r="I335" s="30"/>
      <c r="J335" s="30" t="str">
        <f t="shared" ca="1" si="5"/>
        <v>Nadcházející</v>
      </c>
    </row>
    <row r="336" spans="1:10" ht="26.1" customHeight="1" x14ac:dyDescent="0.2">
      <c r="A336" s="57">
        <v>46453</v>
      </c>
      <c r="B336" s="33" t="s">
        <v>526</v>
      </c>
      <c r="C336" s="30" t="s">
        <v>16</v>
      </c>
      <c r="D336" s="30" t="s">
        <v>34</v>
      </c>
      <c r="E336" s="30" t="s">
        <v>579</v>
      </c>
      <c r="F336" s="59" t="s">
        <v>683</v>
      </c>
      <c r="G336" s="33"/>
      <c r="H336" s="33"/>
      <c r="I336" s="30"/>
      <c r="J336" s="30" t="str">
        <f t="shared" ca="1" si="5"/>
        <v>Nadcházející</v>
      </c>
    </row>
    <row r="337" spans="1:10" ht="26.1" customHeight="1" x14ac:dyDescent="0.2">
      <c r="A337" s="57">
        <v>46453</v>
      </c>
      <c r="B337" s="33" t="s">
        <v>526</v>
      </c>
      <c r="C337" s="30" t="s">
        <v>20</v>
      </c>
      <c r="D337" s="30" t="s">
        <v>34</v>
      </c>
      <c r="E337" s="30" t="s">
        <v>775</v>
      </c>
      <c r="F337" s="59" t="s">
        <v>564</v>
      </c>
      <c r="G337" s="33"/>
      <c r="H337" s="33"/>
      <c r="I337" s="30"/>
      <c r="J337" s="30" t="str">
        <f t="shared" ca="1" si="5"/>
        <v>Nadcházející</v>
      </c>
    </row>
    <row r="338" spans="1:10" ht="26.1" customHeight="1" x14ac:dyDescent="0.2">
      <c r="A338" s="57">
        <v>46453</v>
      </c>
      <c r="B338" s="33" t="s">
        <v>526</v>
      </c>
      <c r="C338" s="30" t="s">
        <v>2</v>
      </c>
      <c r="D338" s="30" t="s">
        <v>26</v>
      </c>
      <c r="E338" s="30" t="s">
        <v>711</v>
      </c>
      <c r="F338" s="59" t="s">
        <v>826</v>
      </c>
      <c r="G338" s="33"/>
      <c r="H338" s="33"/>
      <c r="I338" s="30"/>
      <c r="J338" s="30" t="str">
        <f t="shared" ca="1" si="5"/>
        <v>Nadcházející</v>
      </c>
    </row>
    <row r="339" spans="1:10" ht="26.1" customHeight="1" x14ac:dyDescent="0.2">
      <c r="A339" s="57">
        <v>46453</v>
      </c>
      <c r="B339" s="33" t="s">
        <v>526</v>
      </c>
      <c r="C339" s="30" t="s">
        <v>10</v>
      </c>
      <c r="D339" s="30" t="s">
        <v>32</v>
      </c>
      <c r="E339" s="30" t="s">
        <v>353</v>
      </c>
      <c r="F339" s="59"/>
      <c r="G339" s="33"/>
      <c r="H339" s="33"/>
      <c r="I339" s="30"/>
      <c r="J339" s="30" t="str">
        <f t="shared" ca="1" si="5"/>
        <v>Nadcházející</v>
      </c>
    </row>
    <row r="340" spans="1:10" ht="26.1" customHeight="1" x14ac:dyDescent="0.2">
      <c r="A340" s="57">
        <v>46459</v>
      </c>
      <c r="B340" s="33" t="s">
        <v>523</v>
      </c>
      <c r="C340" s="30" t="s">
        <v>7</v>
      </c>
      <c r="D340" s="30" t="s">
        <v>30</v>
      </c>
      <c r="E340" s="30" t="s">
        <v>699</v>
      </c>
      <c r="F340" s="59" t="s">
        <v>827</v>
      </c>
      <c r="G340" s="33"/>
      <c r="H340" s="33"/>
      <c r="I340" s="30"/>
      <c r="J340" s="30" t="str">
        <f t="shared" ca="1" si="5"/>
        <v>Nadcházející</v>
      </c>
    </row>
    <row r="341" spans="1:10" ht="26.1" customHeight="1" x14ac:dyDescent="0.2">
      <c r="A341" s="57">
        <v>46459</v>
      </c>
      <c r="B341" s="33" t="s">
        <v>523</v>
      </c>
      <c r="C341" s="30" t="s">
        <v>9</v>
      </c>
      <c r="D341" s="30" t="s">
        <v>30</v>
      </c>
      <c r="E341" s="30" t="s">
        <v>702</v>
      </c>
      <c r="F341" s="59" t="s">
        <v>828</v>
      </c>
      <c r="G341" s="33"/>
      <c r="H341" s="33"/>
      <c r="I341" s="30"/>
      <c r="J341" s="30" t="str">
        <f t="shared" ca="1" si="5"/>
        <v>Nadcházející</v>
      </c>
    </row>
    <row r="342" spans="1:10" ht="26.1" customHeight="1" x14ac:dyDescent="0.2">
      <c r="A342" s="57">
        <v>46459</v>
      </c>
      <c r="B342" s="33" t="s">
        <v>523</v>
      </c>
      <c r="C342" s="30" t="s">
        <v>17</v>
      </c>
      <c r="D342" s="30" t="s">
        <v>34</v>
      </c>
      <c r="E342" s="30" t="s">
        <v>415</v>
      </c>
      <c r="F342" s="59"/>
      <c r="G342" s="33"/>
      <c r="H342" s="33"/>
      <c r="I342" s="30"/>
      <c r="J342" s="30" t="str">
        <f t="shared" ca="1" si="5"/>
        <v>Nadcházející</v>
      </c>
    </row>
    <row r="343" spans="1:10" ht="26.1" customHeight="1" x14ac:dyDescent="0.2">
      <c r="A343" s="57">
        <v>46459</v>
      </c>
      <c r="B343" s="33" t="s">
        <v>523</v>
      </c>
      <c r="C343" s="30" t="s">
        <v>21</v>
      </c>
      <c r="D343" s="30" t="s">
        <v>34</v>
      </c>
      <c r="E343" s="30" t="s">
        <v>772</v>
      </c>
      <c r="F343" s="59" t="s">
        <v>776</v>
      </c>
      <c r="G343" s="33"/>
      <c r="H343" s="33"/>
      <c r="I343" s="30"/>
      <c r="J343" s="30" t="str">
        <f t="shared" ca="1" si="5"/>
        <v>Nadcházející</v>
      </c>
    </row>
    <row r="344" spans="1:10" ht="26.1" customHeight="1" x14ac:dyDescent="0.2">
      <c r="A344" s="57">
        <v>46459</v>
      </c>
      <c r="B344" s="33" t="s">
        <v>523</v>
      </c>
      <c r="C344" s="30" t="s">
        <v>1</v>
      </c>
      <c r="D344" s="30" t="s">
        <v>25</v>
      </c>
      <c r="E344" s="30" t="s">
        <v>693</v>
      </c>
      <c r="F344" s="59" t="s">
        <v>829</v>
      </c>
      <c r="G344" s="33"/>
      <c r="H344" s="33"/>
      <c r="I344" s="30"/>
      <c r="J344" s="30" t="str">
        <f t="shared" ca="1" si="5"/>
        <v>Nadcházející</v>
      </c>
    </row>
    <row r="345" spans="1:10" ht="26.1" customHeight="1" x14ac:dyDescent="0.2">
      <c r="A345" s="57">
        <v>46459</v>
      </c>
      <c r="B345" s="33" t="s">
        <v>523</v>
      </c>
      <c r="C345" s="30" t="s">
        <v>13</v>
      </c>
      <c r="D345" s="30" t="s">
        <v>32</v>
      </c>
      <c r="E345" s="30" t="s">
        <v>413</v>
      </c>
      <c r="F345" s="59"/>
      <c r="G345" s="33"/>
      <c r="H345" s="33"/>
      <c r="I345" s="30"/>
      <c r="J345" s="30" t="str">
        <f t="shared" ca="1" si="5"/>
        <v>Nadcházející</v>
      </c>
    </row>
    <row r="346" spans="1:10" ht="26.1" customHeight="1" x14ac:dyDescent="0.2">
      <c r="A346" s="57">
        <v>46459</v>
      </c>
      <c r="B346" s="33" t="s">
        <v>523</v>
      </c>
      <c r="C346" s="30" t="s">
        <v>14</v>
      </c>
      <c r="D346" s="30" t="s">
        <v>32</v>
      </c>
      <c r="E346" s="30" t="s">
        <v>414</v>
      </c>
      <c r="F346" s="59"/>
      <c r="G346" s="33"/>
      <c r="H346" s="33"/>
      <c r="I346" s="30"/>
      <c r="J346" s="30" t="str">
        <f t="shared" ca="1" si="5"/>
        <v>Nadcházející</v>
      </c>
    </row>
    <row r="347" spans="1:10" ht="26.1" customHeight="1" x14ac:dyDescent="0.2">
      <c r="A347" s="57">
        <v>46460</v>
      </c>
      <c r="B347" s="33" t="s">
        <v>526</v>
      </c>
      <c r="C347" s="30" t="s">
        <v>7</v>
      </c>
      <c r="D347" s="30" t="s">
        <v>30</v>
      </c>
      <c r="E347" s="30" t="s">
        <v>830</v>
      </c>
      <c r="F347" s="59" t="s">
        <v>831</v>
      </c>
      <c r="G347" s="33"/>
      <c r="H347" s="33"/>
      <c r="I347" s="30"/>
      <c r="J347" s="30" t="str">
        <f t="shared" ca="1" si="5"/>
        <v>Nadcházející</v>
      </c>
    </row>
    <row r="348" spans="1:10" ht="26.1" customHeight="1" x14ac:dyDescent="0.2">
      <c r="A348" s="57">
        <v>46460</v>
      </c>
      <c r="B348" s="33" t="s">
        <v>526</v>
      </c>
      <c r="C348" s="30" t="s">
        <v>9</v>
      </c>
      <c r="D348" s="30" t="s">
        <v>30</v>
      </c>
      <c r="E348" s="30" t="s">
        <v>690</v>
      </c>
      <c r="F348" s="59" t="s">
        <v>832</v>
      </c>
      <c r="G348" s="33"/>
      <c r="H348" s="33"/>
      <c r="I348" s="30"/>
      <c r="J348" s="30" t="str">
        <f t="shared" ca="1" si="5"/>
        <v>Nadcházející</v>
      </c>
    </row>
    <row r="349" spans="1:10" ht="26.1" customHeight="1" x14ac:dyDescent="0.2">
      <c r="A349" s="57">
        <v>46460</v>
      </c>
      <c r="B349" s="33" t="s">
        <v>526</v>
      </c>
      <c r="C349" s="30" t="s">
        <v>21</v>
      </c>
      <c r="D349" s="30" t="s">
        <v>34</v>
      </c>
      <c r="E349" s="30" t="s">
        <v>775</v>
      </c>
      <c r="F349" s="59" t="s">
        <v>540</v>
      </c>
      <c r="G349" s="33"/>
      <c r="H349" s="33"/>
      <c r="I349" s="30"/>
      <c r="J349" s="30" t="str">
        <f t="shared" ca="1" si="5"/>
        <v>Nadcházející</v>
      </c>
    </row>
    <row r="350" spans="1:10" ht="26.1" customHeight="1" x14ac:dyDescent="0.2">
      <c r="A350" s="57">
        <v>46460</v>
      </c>
      <c r="B350" s="33" t="s">
        <v>526</v>
      </c>
      <c r="C350" s="30" t="s">
        <v>1</v>
      </c>
      <c r="D350" s="30" t="s">
        <v>25</v>
      </c>
      <c r="E350" s="30" t="s">
        <v>548</v>
      </c>
      <c r="F350" s="59" t="s">
        <v>833</v>
      </c>
      <c r="G350" s="33"/>
      <c r="H350" s="33"/>
      <c r="I350" s="30"/>
      <c r="J350" s="30" t="str">
        <f t="shared" ca="1" si="5"/>
        <v>Nadcházející</v>
      </c>
    </row>
    <row r="351" spans="1:10" ht="26.1" customHeight="1" x14ac:dyDescent="0.2">
      <c r="A351" s="57">
        <v>46460</v>
      </c>
      <c r="B351" s="33" t="s">
        <v>526</v>
      </c>
      <c r="C351" s="30" t="s">
        <v>13</v>
      </c>
      <c r="D351" s="30" t="s">
        <v>32</v>
      </c>
      <c r="E351" s="30" t="s">
        <v>413</v>
      </c>
      <c r="F351" s="59"/>
      <c r="G351" s="33"/>
      <c r="H351" s="33"/>
      <c r="I351" s="30"/>
      <c r="J351" s="30" t="str">
        <f t="shared" ca="1" si="5"/>
        <v>Nadcházející</v>
      </c>
    </row>
    <row r="352" spans="1:10" ht="26.1" customHeight="1" x14ac:dyDescent="0.2">
      <c r="A352" s="57">
        <v>46460</v>
      </c>
      <c r="B352" s="33" t="s">
        <v>526</v>
      </c>
      <c r="C352" s="30" t="s">
        <v>14</v>
      </c>
      <c r="D352" s="30" t="s">
        <v>32</v>
      </c>
      <c r="E352" s="30" t="s">
        <v>413</v>
      </c>
      <c r="F352" s="59"/>
      <c r="G352" s="33"/>
      <c r="H352" s="33"/>
      <c r="I352" s="30"/>
      <c r="J352" s="30" t="str">
        <f t="shared" ca="1" si="5"/>
        <v>Nadcházející</v>
      </c>
    </row>
    <row r="353" spans="1:10" ht="26.1" customHeight="1" x14ac:dyDescent="0.2">
      <c r="A353" s="57">
        <v>46460</v>
      </c>
      <c r="B353" s="33" t="s">
        <v>526</v>
      </c>
      <c r="C353" s="30" t="s">
        <v>4</v>
      </c>
      <c r="D353" s="30" t="s">
        <v>28</v>
      </c>
      <c r="E353" s="30" t="s">
        <v>727</v>
      </c>
      <c r="F353" s="59" t="s">
        <v>834</v>
      </c>
      <c r="G353" s="33"/>
      <c r="H353" s="33"/>
      <c r="I353" s="30"/>
      <c r="J353" s="30" t="str">
        <f t="shared" ca="1" si="5"/>
        <v>Nadcházející</v>
      </c>
    </row>
    <row r="354" spans="1:10" ht="26.1" customHeight="1" x14ac:dyDescent="0.2">
      <c r="A354" s="57">
        <v>46460</v>
      </c>
      <c r="B354" s="33" t="s">
        <v>526</v>
      </c>
      <c r="C354" s="30" t="s">
        <v>5</v>
      </c>
      <c r="D354" s="30" t="s">
        <v>28</v>
      </c>
      <c r="E354" s="30" t="s">
        <v>728</v>
      </c>
      <c r="F354" s="59" t="s">
        <v>834</v>
      </c>
      <c r="G354" s="33"/>
      <c r="H354" s="33"/>
      <c r="I354" s="30"/>
      <c r="J354" s="30" t="str">
        <f t="shared" ca="1" si="5"/>
        <v>Nadcházející</v>
      </c>
    </row>
    <row r="355" spans="1:10" ht="26.1" customHeight="1" x14ac:dyDescent="0.2">
      <c r="A355" s="57">
        <v>46463</v>
      </c>
      <c r="B355" s="33" t="s">
        <v>789</v>
      </c>
      <c r="C355" s="30" t="s">
        <v>14</v>
      </c>
      <c r="D355" s="30" t="s">
        <v>32</v>
      </c>
      <c r="E355" s="30" t="s">
        <v>425</v>
      </c>
      <c r="F355" s="59"/>
      <c r="G355" s="33"/>
      <c r="H355" s="33"/>
      <c r="I355" s="30"/>
      <c r="J355" s="30" t="str">
        <f t="shared" ca="1" si="5"/>
        <v>Nadcházející</v>
      </c>
    </row>
    <row r="356" spans="1:10" ht="26.1" customHeight="1" x14ac:dyDescent="0.2">
      <c r="A356" s="57">
        <v>46466</v>
      </c>
      <c r="B356" s="33" t="s">
        <v>523</v>
      </c>
      <c r="C356" s="30" t="s">
        <v>18</v>
      </c>
      <c r="D356" s="30" t="s">
        <v>34</v>
      </c>
      <c r="E356" s="30" t="s">
        <v>429</v>
      </c>
      <c r="F356" s="59"/>
      <c r="G356" s="33"/>
      <c r="H356" s="33"/>
      <c r="I356" s="30"/>
      <c r="J356" s="30" t="str">
        <f t="shared" ca="1" si="5"/>
        <v>Nadcházející</v>
      </c>
    </row>
    <row r="357" spans="1:10" ht="26.1" customHeight="1" x14ac:dyDescent="0.2">
      <c r="A357" s="57">
        <v>46466</v>
      </c>
      <c r="B357" s="33" t="s">
        <v>523</v>
      </c>
      <c r="C357" s="30" t="s">
        <v>16</v>
      </c>
      <c r="D357" s="30" t="s">
        <v>34</v>
      </c>
      <c r="E357" s="30" t="s">
        <v>568</v>
      </c>
      <c r="F357" s="59" t="s">
        <v>679</v>
      </c>
      <c r="G357" s="33"/>
      <c r="H357" s="33"/>
      <c r="I357" s="30"/>
      <c r="J357" s="30" t="str">
        <f t="shared" ca="1" si="5"/>
        <v>Nadcházející</v>
      </c>
    </row>
    <row r="358" spans="1:10" ht="26.1" customHeight="1" x14ac:dyDescent="0.2">
      <c r="A358" s="57">
        <v>46466</v>
      </c>
      <c r="B358" s="33" t="s">
        <v>523</v>
      </c>
      <c r="C358" s="30" t="s">
        <v>22</v>
      </c>
      <c r="D358" s="30" t="s">
        <v>34</v>
      </c>
      <c r="E358" s="30" t="s">
        <v>775</v>
      </c>
      <c r="F358" s="59" t="s">
        <v>624</v>
      </c>
      <c r="G358" s="33"/>
      <c r="H358" s="33"/>
      <c r="I358" s="30"/>
      <c r="J358" s="30" t="str">
        <f t="shared" ca="1" si="5"/>
        <v>Nadcházející</v>
      </c>
    </row>
    <row r="359" spans="1:10" ht="26.1" customHeight="1" x14ac:dyDescent="0.2">
      <c r="A359" s="57">
        <v>46466</v>
      </c>
      <c r="B359" s="33" t="s">
        <v>523</v>
      </c>
      <c r="C359" s="30" t="s">
        <v>20</v>
      </c>
      <c r="D359" s="30" t="s">
        <v>34</v>
      </c>
      <c r="E359" s="30" t="s">
        <v>777</v>
      </c>
      <c r="F359" s="59" t="s">
        <v>559</v>
      </c>
      <c r="G359" s="33"/>
      <c r="H359" s="33"/>
      <c r="I359" s="30"/>
      <c r="J359" s="30" t="str">
        <f t="shared" ca="1" si="5"/>
        <v>Nadcházející</v>
      </c>
    </row>
    <row r="360" spans="1:10" ht="26.1" customHeight="1" x14ac:dyDescent="0.2">
      <c r="A360" s="57">
        <v>46466</v>
      </c>
      <c r="B360" s="33" t="s">
        <v>523</v>
      </c>
      <c r="C360" s="30" t="s">
        <v>10</v>
      </c>
      <c r="D360" s="30" t="s">
        <v>32</v>
      </c>
      <c r="E360" s="30" t="s">
        <v>381</v>
      </c>
      <c r="F360" s="59"/>
      <c r="G360" s="33"/>
      <c r="H360" s="33"/>
      <c r="I360" s="30"/>
      <c r="J360" s="30" t="str">
        <f t="shared" ca="1" si="5"/>
        <v>Nadcházející</v>
      </c>
    </row>
    <row r="361" spans="1:10" ht="26.1" customHeight="1" x14ac:dyDescent="0.2">
      <c r="A361" s="57">
        <v>46466</v>
      </c>
      <c r="B361" s="33" t="s">
        <v>523</v>
      </c>
      <c r="C361" s="30" t="s">
        <v>11</v>
      </c>
      <c r="D361" s="30" t="s">
        <v>32</v>
      </c>
      <c r="E361" s="30" t="s">
        <v>381</v>
      </c>
      <c r="F361" s="59"/>
      <c r="G361" s="33"/>
      <c r="H361" s="33"/>
      <c r="I361" s="30"/>
      <c r="J361" s="30" t="str">
        <f t="shared" ca="1" si="5"/>
        <v>Nadcházející</v>
      </c>
    </row>
    <row r="362" spans="1:10" ht="26.1" customHeight="1" x14ac:dyDescent="0.2">
      <c r="A362" s="57">
        <v>46466</v>
      </c>
      <c r="B362" s="33" t="s">
        <v>523</v>
      </c>
      <c r="C362" s="30" t="s">
        <v>12</v>
      </c>
      <c r="D362" s="30" t="s">
        <v>33</v>
      </c>
      <c r="E362" s="30" t="s">
        <v>541</v>
      </c>
      <c r="F362" s="59" t="s">
        <v>835</v>
      </c>
      <c r="G362" s="33"/>
      <c r="H362" s="33"/>
      <c r="I362" s="30"/>
      <c r="J362" s="30" t="str">
        <f t="shared" ca="1" si="5"/>
        <v>Nadcházející</v>
      </c>
    </row>
    <row r="363" spans="1:10" ht="26.1" customHeight="1" x14ac:dyDescent="0.2">
      <c r="A363" s="57">
        <v>46467</v>
      </c>
      <c r="B363" s="33" t="s">
        <v>526</v>
      </c>
      <c r="C363" s="30" t="s">
        <v>22</v>
      </c>
      <c r="D363" s="30" t="s">
        <v>34</v>
      </c>
      <c r="E363" s="30" t="s">
        <v>771</v>
      </c>
      <c r="F363" s="59" t="s">
        <v>528</v>
      </c>
      <c r="G363" s="33"/>
      <c r="H363" s="33"/>
      <c r="I363" s="30"/>
      <c r="J363" s="30" t="str">
        <f t="shared" ca="1" si="5"/>
        <v>Nadcházející</v>
      </c>
    </row>
    <row r="364" spans="1:10" ht="26.1" customHeight="1" x14ac:dyDescent="0.2">
      <c r="A364" s="57">
        <v>46467</v>
      </c>
      <c r="B364" s="33" t="s">
        <v>526</v>
      </c>
      <c r="C364" s="30" t="s">
        <v>20</v>
      </c>
      <c r="D364" s="30" t="s">
        <v>34</v>
      </c>
      <c r="E364" s="30" t="s">
        <v>772</v>
      </c>
      <c r="F364" s="59" t="s">
        <v>618</v>
      </c>
      <c r="G364" s="33"/>
      <c r="H364" s="33"/>
      <c r="I364" s="30"/>
      <c r="J364" s="30" t="str">
        <f t="shared" ca="1" si="5"/>
        <v>Nadcházející</v>
      </c>
    </row>
    <row r="365" spans="1:10" ht="26.1" customHeight="1" x14ac:dyDescent="0.2">
      <c r="A365" s="57">
        <v>46467</v>
      </c>
      <c r="B365" s="33" t="s">
        <v>526</v>
      </c>
      <c r="C365" s="30" t="s">
        <v>2</v>
      </c>
      <c r="D365" s="30" t="s">
        <v>26</v>
      </c>
      <c r="E365" s="30" t="s">
        <v>744</v>
      </c>
      <c r="F365" s="59" t="s">
        <v>588</v>
      </c>
      <c r="G365" s="33"/>
      <c r="H365" s="33"/>
      <c r="I365" s="30"/>
      <c r="J365" s="30" t="str">
        <f t="shared" ca="1" si="5"/>
        <v>Nadcházející</v>
      </c>
    </row>
    <row r="366" spans="1:10" ht="26.1" customHeight="1" x14ac:dyDescent="0.2">
      <c r="A366" s="57">
        <v>46467</v>
      </c>
      <c r="B366" s="33" t="s">
        <v>526</v>
      </c>
      <c r="C366" s="30" t="s">
        <v>10</v>
      </c>
      <c r="D366" s="30" t="s">
        <v>32</v>
      </c>
      <c r="E366" s="30" t="s">
        <v>381</v>
      </c>
      <c r="F366" s="59"/>
      <c r="G366" s="33"/>
      <c r="H366" s="33"/>
      <c r="I366" s="30"/>
      <c r="J366" s="30" t="str">
        <f t="shared" ca="1" si="5"/>
        <v>Nadcházející</v>
      </c>
    </row>
    <row r="367" spans="1:10" ht="26.1" customHeight="1" x14ac:dyDescent="0.2">
      <c r="A367" s="57">
        <v>46467</v>
      </c>
      <c r="B367" s="33" t="s">
        <v>526</v>
      </c>
      <c r="C367" s="30" t="s">
        <v>11</v>
      </c>
      <c r="D367" s="30" t="s">
        <v>32</v>
      </c>
      <c r="E367" s="30" t="s">
        <v>381</v>
      </c>
      <c r="F367" s="59"/>
      <c r="G367" s="33"/>
      <c r="H367" s="33"/>
      <c r="I367" s="30"/>
      <c r="J367" s="30" t="str">
        <f t="shared" ca="1" si="5"/>
        <v>Nadcházející</v>
      </c>
    </row>
    <row r="368" spans="1:10" ht="26.1" customHeight="1" x14ac:dyDescent="0.2">
      <c r="A368" s="57">
        <v>46467</v>
      </c>
      <c r="B368" s="33" t="s">
        <v>526</v>
      </c>
      <c r="C368" s="30" t="s">
        <v>12</v>
      </c>
      <c r="D368" s="30" t="s">
        <v>33</v>
      </c>
      <c r="E368" s="30" t="s">
        <v>749</v>
      </c>
      <c r="F368" s="59" t="s">
        <v>836</v>
      </c>
      <c r="G368" s="33"/>
      <c r="H368" s="33"/>
      <c r="I368" s="30"/>
      <c r="J368" s="30" t="str">
        <f t="shared" ca="1" si="5"/>
        <v>Nadcházející</v>
      </c>
    </row>
    <row r="369" spans="1:10" ht="26.1" customHeight="1" x14ac:dyDescent="0.2">
      <c r="A369" s="57">
        <v>46470</v>
      </c>
      <c r="B369" s="33" t="s">
        <v>789</v>
      </c>
      <c r="C369" s="30" t="s">
        <v>13</v>
      </c>
      <c r="D369" s="30" t="s">
        <v>32</v>
      </c>
      <c r="E369" s="30" t="s">
        <v>438</v>
      </c>
      <c r="F369" s="59"/>
      <c r="G369" s="33"/>
      <c r="H369" s="33"/>
      <c r="I369" s="30"/>
      <c r="J369" s="30" t="str">
        <f t="shared" ca="1" si="5"/>
        <v>Nadcházející</v>
      </c>
    </row>
    <row r="370" spans="1:10" ht="26.1" customHeight="1" x14ac:dyDescent="0.2">
      <c r="A370" s="57">
        <v>46480</v>
      </c>
      <c r="B370" s="33" t="s">
        <v>523</v>
      </c>
      <c r="C370" s="30" t="s">
        <v>7</v>
      </c>
      <c r="D370" s="30" t="s">
        <v>30</v>
      </c>
      <c r="E370" s="30" t="s">
        <v>634</v>
      </c>
      <c r="F370" s="59" t="s">
        <v>837</v>
      </c>
      <c r="G370" s="33"/>
      <c r="H370" s="33"/>
      <c r="I370" s="30"/>
      <c r="J370" s="30" t="str">
        <f t="shared" ca="1" si="5"/>
        <v>Nadcházející</v>
      </c>
    </row>
    <row r="371" spans="1:10" ht="26.1" customHeight="1" x14ac:dyDescent="0.2">
      <c r="A371" s="57">
        <v>46480</v>
      </c>
      <c r="B371" s="33" t="s">
        <v>523</v>
      </c>
      <c r="C371" s="30" t="s">
        <v>8</v>
      </c>
      <c r="D371" s="30" t="s">
        <v>31</v>
      </c>
      <c r="E371" s="30" t="s">
        <v>446</v>
      </c>
      <c r="F371" s="59"/>
      <c r="G371" s="33"/>
      <c r="H371" s="33"/>
      <c r="I371" s="30"/>
      <c r="J371" s="30" t="str">
        <f t="shared" ca="1" si="5"/>
        <v>Nadcházející</v>
      </c>
    </row>
    <row r="372" spans="1:10" ht="26.1" customHeight="1" x14ac:dyDescent="0.2">
      <c r="A372" s="57">
        <v>46480</v>
      </c>
      <c r="B372" s="33" t="s">
        <v>523</v>
      </c>
      <c r="C372" s="30" t="s">
        <v>9</v>
      </c>
      <c r="D372" s="30" t="s">
        <v>30</v>
      </c>
      <c r="E372" s="30" t="s">
        <v>730</v>
      </c>
      <c r="F372" s="59" t="s">
        <v>838</v>
      </c>
      <c r="G372" s="33"/>
      <c r="H372" s="33"/>
      <c r="I372" s="30"/>
      <c r="J372" s="30" t="str">
        <f t="shared" ca="1" si="5"/>
        <v>Nadcházející</v>
      </c>
    </row>
    <row r="373" spans="1:10" ht="26.1" customHeight="1" x14ac:dyDescent="0.2">
      <c r="A373" s="57">
        <v>46480</v>
      </c>
      <c r="B373" s="33" t="s">
        <v>523</v>
      </c>
      <c r="C373" s="30" t="s">
        <v>19</v>
      </c>
      <c r="D373" s="30" t="s">
        <v>26</v>
      </c>
      <c r="E373" s="30" t="s">
        <v>570</v>
      </c>
      <c r="F373" s="59" t="s">
        <v>839</v>
      </c>
      <c r="G373" s="33"/>
      <c r="H373" s="33"/>
      <c r="I373" s="30"/>
      <c r="J373" s="30" t="str">
        <f t="shared" ca="1" si="5"/>
        <v>Nadcházející</v>
      </c>
    </row>
    <row r="374" spans="1:10" ht="26.1" customHeight="1" x14ac:dyDescent="0.2">
      <c r="A374" s="57">
        <v>46480</v>
      </c>
      <c r="B374" s="33" t="s">
        <v>523</v>
      </c>
      <c r="C374" s="30" t="s">
        <v>17</v>
      </c>
      <c r="D374" s="30" t="s">
        <v>34</v>
      </c>
      <c r="E374" s="30" t="s">
        <v>449</v>
      </c>
      <c r="F374" s="59"/>
      <c r="G374" s="33"/>
      <c r="H374" s="33"/>
      <c r="I374" s="30"/>
      <c r="J374" s="30" t="str">
        <f t="shared" ca="1" si="5"/>
        <v>Nadcházející</v>
      </c>
    </row>
    <row r="375" spans="1:10" ht="26.1" customHeight="1" x14ac:dyDescent="0.2">
      <c r="A375" s="57">
        <v>46480</v>
      </c>
      <c r="B375" s="33" t="s">
        <v>523</v>
      </c>
      <c r="C375" s="30" t="s">
        <v>23</v>
      </c>
      <c r="D375" s="30" t="s">
        <v>26</v>
      </c>
      <c r="E375" s="30" t="s">
        <v>556</v>
      </c>
      <c r="F375" s="59" t="s">
        <v>840</v>
      </c>
      <c r="G375" s="33"/>
      <c r="H375" s="33"/>
      <c r="I375" s="30"/>
      <c r="J375" s="30" t="str">
        <f t="shared" ca="1" si="5"/>
        <v>Nadcházející</v>
      </c>
    </row>
    <row r="376" spans="1:10" ht="26.1" customHeight="1" x14ac:dyDescent="0.2">
      <c r="A376" s="57">
        <v>46480</v>
      </c>
      <c r="B376" s="33" t="s">
        <v>523</v>
      </c>
      <c r="C376" s="30" t="s">
        <v>21</v>
      </c>
      <c r="D376" s="30" t="s">
        <v>34</v>
      </c>
      <c r="E376" s="30" t="s">
        <v>775</v>
      </c>
      <c r="F376" s="59" t="s">
        <v>791</v>
      </c>
      <c r="G376" s="33"/>
      <c r="H376" s="33"/>
      <c r="I376" s="30"/>
      <c r="J376" s="30" t="str">
        <f t="shared" ca="1" si="5"/>
        <v>Nadcházející</v>
      </c>
    </row>
    <row r="377" spans="1:10" ht="26.1" customHeight="1" x14ac:dyDescent="0.2">
      <c r="A377" s="57">
        <v>46480</v>
      </c>
      <c r="B377" s="33" t="s">
        <v>523</v>
      </c>
      <c r="C377" s="30" t="s">
        <v>1</v>
      </c>
      <c r="D377" s="30" t="s">
        <v>25</v>
      </c>
      <c r="E377" s="30" t="s">
        <v>738</v>
      </c>
      <c r="F377" s="59" t="s">
        <v>841</v>
      </c>
      <c r="G377" s="33"/>
      <c r="H377" s="33"/>
      <c r="I377" s="30"/>
      <c r="J377" s="30" t="str">
        <f t="shared" ca="1" si="5"/>
        <v>Nadcházející</v>
      </c>
    </row>
    <row r="378" spans="1:10" ht="26.1" customHeight="1" x14ac:dyDescent="0.2">
      <c r="A378" s="57">
        <v>46480</v>
      </c>
      <c r="B378" s="33" t="s">
        <v>523</v>
      </c>
      <c r="C378" s="30" t="s">
        <v>13</v>
      </c>
      <c r="D378" s="30" t="s">
        <v>32</v>
      </c>
      <c r="E378" s="30" t="s">
        <v>448</v>
      </c>
      <c r="F378" s="59"/>
      <c r="G378" s="33"/>
      <c r="H378" s="33"/>
      <c r="I378" s="30"/>
      <c r="J378" s="30" t="str">
        <f t="shared" ca="1" si="5"/>
        <v>Nadcházející</v>
      </c>
    </row>
    <row r="379" spans="1:10" ht="26.1" customHeight="1" x14ac:dyDescent="0.2">
      <c r="A379" s="57">
        <v>46480</v>
      </c>
      <c r="B379" s="33" t="s">
        <v>523</v>
      </c>
      <c r="C379" s="30" t="s">
        <v>14</v>
      </c>
      <c r="D379" s="30" t="s">
        <v>32</v>
      </c>
      <c r="E379" s="30" t="s">
        <v>448</v>
      </c>
      <c r="F379" s="59"/>
      <c r="G379" s="33"/>
      <c r="H379" s="33"/>
      <c r="I379" s="30"/>
      <c r="J379" s="30" t="str">
        <f t="shared" ca="1" si="5"/>
        <v>Nadcházející</v>
      </c>
    </row>
    <row r="380" spans="1:10" ht="26.1" customHeight="1" x14ac:dyDescent="0.2">
      <c r="A380" s="57">
        <v>46480</v>
      </c>
      <c r="B380" s="33" t="s">
        <v>523</v>
      </c>
      <c r="C380" s="30" t="s">
        <v>4</v>
      </c>
      <c r="D380" s="30" t="s">
        <v>28</v>
      </c>
      <c r="E380" s="30" t="s">
        <v>444</v>
      </c>
      <c r="F380" s="59"/>
      <c r="G380" s="33"/>
      <c r="H380" s="33"/>
      <c r="I380" s="30"/>
      <c r="J380" s="30" t="str">
        <f t="shared" ca="1" si="5"/>
        <v>Nadcházející</v>
      </c>
    </row>
    <row r="381" spans="1:10" ht="26.1" customHeight="1" x14ac:dyDescent="0.2">
      <c r="A381" s="57">
        <v>46480</v>
      </c>
      <c r="B381" s="33" t="s">
        <v>523</v>
      </c>
      <c r="C381" s="30" t="s">
        <v>5</v>
      </c>
      <c r="D381" s="30" t="s">
        <v>28</v>
      </c>
      <c r="E381" s="30" t="s">
        <v>444</v>
      </c>
      <c r="F381" s="59"/>
      <c r="G381" s="33"/>
      <c r="H381" s="33"/>
      <c r="I381" s="30"/>
      <c r="J381" s="30" t="str">
        <f t="shared" ca="1" si="5"/>
        <v>Nadcházející</v>
      </c>
    </row>
    <row r="382" spans="1:10" ht="26.1" customHeight="1" x14ac:dyDescent="0.2">
      <c r="A382" s="57">
        <v>46481</v>
      </c>
      <c r="B382" s="33" t="s">
        <v>526</v>
      </c>
      <c r="C382" s="30" t="s">
        <v>7</v>
      </c>
      <c r="D382" s="30" t="s">
        <v>30</v>
      </c>
      <c r="E382" s="30" t="s">
        <v>649</v>
      </c>
      <c r="F382" s="59" t="s">
        <v>842</v>
      </c>
      <c r="G382" s="33"/>
      <c r="H382" s="33"/>
      <c r="I382" s="30"/>
      <c r="J382" s="30" t="str">
        <f t="shared" ca="1" si="5"/>
        <v>Nadcházející</v>
      </c>
    </row>
    <row r="383" spans="1:10" ht="26.1" customHeight="1" x14ac:dyDescent="0.2">
      <c r="A383" s="57">
        <v>46481</v>
      </c>
      <c r="B383" s="33" t="s">
        <v>526</v>
      </c>
      <c r="C383" s="30" t="s">
        <v>8</v>
      </c>
      <c r="D383" s="30" t="s">
        <v>31</v>
      </c>
      <c r="E383" s="30" t="s">
        <v>446</v>
      </c>
      <c r="F383" s="59"/>
      <c r="G383" s="33"/>
      <c r="H383" s="33"/>
      <c r="I383" s="30"/>
      <c r="J383" s="30" t="str">
        <f t="shared" ca="1" si="5"/>
        <v>Nadcházející</v>
      </c>
    </row>
    <row r="384" spans="1:10" ht="26.1" customHeight="1" x14ac:dyDescent="0.2">
      <c r="A384" s="57">
        <v>46481</v>
      </c>
      <c r="B384" s="33" t="s">
        <v>526</v>
      </c>
      <c r="C384" s="30" t="s">
        <v>9</v>
      </c>
      <c r="D384" s="30" t="s">
        <v>30</v>
      </c>
      <c r="E384" s="30" t="s">
        <v>634</v>
      </c>
      <c r="F384" s="59" t="s">
        <v>843</v>
      </c>
      <c r="G384" s="33"/>
      <c r="H384" s="33"/>
      <c r="I384" s="30"/>
      <c r="J384" s="30" t="str">
        <f t="shared" ca="1" si="5"/>
        <v>Nadcházející</v>
      </c>
    </row>
    <row r="385" spans="1:10" ht="26.1" customHeight="1" x14ac:dyDescent="0.2">
      <c r="A385" s="57">
        <v>46481</v>
      </c>
      <c r="B385" s="33" t="s">
        <v>526</v>
      </c>
      <c r="C385" s="30" t="s">
        <v>1</v>
      </c>
      <c r="D385" s="30" t="s">
        <v>25</v>
      </c>
      <c r="E385" s="30" t="s">
        <v>737</v>
      </c>
      <c r="F385" s="59" t="s">
        <v>844</v>
      </c>
      <c r="G385" s="33"/>
      <c r="H385" s="33"/>
      <c r="I385" s="30"/>
      <c r="J385" s="30" t="str">
        <f t="shared" ca="1" si="5"/>
        <v>Nadcházející</v>
      </c>
    </row>
    <row r="386" spans="1:10" ht="26.1" customHeight="1" x14ac:dyDescent="0.2">
      <c r="A386" s="57">
        <v>46481</v>
      </c>
      <c r="B386" s="33" t="s">
        <v>526</v>
      </c>
      <c r="C386" s="30" t="s">
        <v>13</v>
      </c>
      <c r="D386" s="30" t="s">
        <v>32</v>
      </c>
      <c r="E386" s="30" t="s">
        <v>448</v>
      </c>
      <c r="F386" s="59"/>
      <c r="G386" s="33"/>
      <c r="H386" s="33"/>
      <c r="I386" s="30"/>
      <c r="J386" s="30" t="str">
        <f t="shared" ca="1" si="5"/>
        <v>Nadcházející</v>
      </c>
    </row>
    <row r="387" spans="1:10" ht="26.1" customHeight="1" x14ac:dyDescent="0.2">
      <c r="A387" s="57">
        <v>46481</v>
      </c>
      <c r="B387" s="33" t="s">
        <v>526</v>
      </c>
      <c r="C387" s="30" t="s">
        <v>14</v>
      </c>
      <c r="D387" s="30" t="s">
        <v>32</v>
      </c>
      <c r="E387" s="30" t="s">
        <v>448</v>
      </c>
      <c r="F387" s="59"/>
      <c r="G387" s="33"/>
      <c r="H387" s="33"/>
      <c r="I387" s="30"/>
      <c r="J387" s="30" t="str">
        <f t="shared" ca="1" si="5"/>
        <v>Nadcházející</v>
      </c>
    </row>
    <row r="388" spans="1:10" ht="26.1" customHeight="1" x14ac:dyDescent="0.2">
      <c r="A388" s="57">
        <v>46481</v>
      </c>
      <c r="B388" s="33" t="s">
        <v>526</v>
      </c>
      <c r="C388" s="30" t="s">
        <v>4</v>
      </c>
      <c r="D388" s="30" t="s">
        <v>28</v>
      </c>
      <c r="E388" s="30" t="s">
        <v>444</v>
      </c>
      <c r="F388" s="59"/>
      <c r="G388" s="33"/>
      <c r="H388" s="33"/>
      <c r="I388" s="30"/>
      <c r="J388" s="30" t="str">
        <f t="shared" ca="1" si="5"/>
        <v>Nadcházející</v>
      </c>
    </row>
    <row r="389" spans="1:10" ht="26.1" customHeight="1" x14ac:dyDescent="0.2">
      <c r="A389" s="57">
        <v>46481</v>
      </c>
      <c r="B389" s="33" t="s">
        <v>526</v>
      </c>
      <c r="C389" s="30" t="s">
        <v>5</v>
      </c>
      <c r="D389" s="30" t="s">
        <v>28</v>
      </c>
      <c r="E389" s="30" t="s">
        <v>444</v>
      </c>
      <c r="F389" s="59"/>
      <c r="G389" s="33"/>
      <c r="H389" s="33"/>
      <c r="I389" s="30"/>
      <c r="J389" s="30" t="str">
        <f t="shared" ref="J389:J430" ca="1" si="6">IF(A389&lt;TODAY(),"Odehráno",IF(A389=TODAY(),"Dnes","Nadcházející"))</f>
        <v>Nadcházející</v>
      </c>
    </row>
    <row r="390" spans="1:10" ht="26.1" customHeight="1" x14ac:dyDescent="0.2">
      <c r="A390" s="57">
        <v>46487</v>
      </c>
      <c r="B390" s="33" t="s">
        <v>523</v>
      </c>
      <c r="C390" s="30" t="s">
        <v>18</v>
      </c>
      <c r="D390" s="30" t="s">
        <v>34</v>
      </c>
      <c r="E390" s="30" t="s">
        <v>845</v>
      </c>
      <c r="F390" s="59" t="s">
        <v>846</v>
      </c>
      <c r="G390" s="33"/>
      <c r="H390" s="33"/>
      <c r="I390" s="30"/>
      <c r="J390" s="30" t="str">
        <f t="shared" ca="1" si="6"/>
        <v>Nadcházející</v>
      </c>
    </row>
    <row r="391" spans="1:10" ht="26.1" customHeight="1" x14ac:dyDescent="0.2">
      <c r="A391" s="57">
        <v>46487</v>
      </c>
      <c r="B391" s="33" t="s">
        <v>523</v>
      </c>
      <c r="C391" s="30" t="s">
        <v>22</v>
      </c>
      <c r="D391" s="30" t="s">
        <v>34</v>
      </c>
      <c r="E391" s="30" t="s">
        <v>460</v>
      </c>
      <c r="F391" s="59"/>
      <c r="G391" s="33"/>
      <c r="H391" s="33"/>
      <c r="I391" s="30"/>
      <c r="J391" s="30" t="str">
        <f t="shared" ca="1" si="6"/>
        <v>Nadcházející</v>
      </c>
    </row>
    <row r="392" spans="1:10" ht="26.1" customHeight="1" x14ac:dyDescent="0.2">
      <c r="A392" s="57">
        <v>46487</v>
      </c>
      <c r="B392" s="33" t="s">
        <v>523</v>
      </c>
      <c r="C392" s="30" t="s">
        <v>20</v>
      </c>
      <c r="D392" s="30" t="s">
        <v>34</v>
      </c>
      <c r="E392" s="30" t="s">
        <v>682</v>
      </c>
      <c r="F392" s="59" t="s">
        <v>724</v>
      </c>
      <c r="G392" s="33"/>
      <c r="H392" s="33"/>
      <c r="I392" s="30"/>
      <c r="J392" s="30" t="str">
        <f t="shared" ca="1" si="6"/>
        <v>Nadcházející</v>
      </c>
    </row>
    <row r="393" spans="1:10" ht="26.1" customHeight="1" x14ac:dyDescent="0.2">
      <c r="A393" s="57">
        <v>46487</v>
      </c>
      <c r="B393" s="33" t="s">
        <v>523</v>
      </c>
      <c r="C393" s="30" t="s">
        <v>2</v>
      </c>
      <c r="D393" s="30" t="s">
        <v>26</v>
      </c>
      <c r="E393" s="30" t="s">
        <v>444</v>
      </c>
      <c r="F393" s="59"/>
      <c r="G393" s="33"/>
      <c r="H393" s="33"/>
      <c r="I393" s="30"/>
      <c r="J393" s="30" t="str">
        <f t="shared" ca="1" si="6"/>
        <v>Nadcházející</v>
      </c>
    </row>
    <row r="394" spans="1:10" ht="26.1" customHeight="1" x14ac:dyDescent="0.2">
      <c r="A394" s="57">
        <v>46487</v>
      </c>
      <c r="B394" s="33" t="s">
        <v>523</v>
      </c>
      <c r="C394" s="30" t="s">
        <v>10</v>
      </c>
      <c r="D394" s="30" t="s">
        <v>32</v>
      </c>
      <c r="E394" s="30" t="s">
        <v>446</v>
      </c>
      <c r="F394" s="59"/>
      <c r="G394" s="33"/>
      <c r="H394" s="33"/>
      <c r="I394" s="30"/>
      <c r="J394" s="30" t="str">
        <f t="shared" ca="1" si="6"/>
        <v>Nadcházející</v>
      </c>
    </row>
    <row r="395" spans="1:10" ht="26.1" customHeight="1" x14ac:dyDescent="0.2">
      <c r="A395" s="57">
        <v>46487</v>
      </c>
      <c r="B395" s="33" t="s">
        <v>523</v>
      </c>
      <c r="C395" s="30" t="s">
        <v>11</v>
      </c>
      <c r="D395" s="30" t="s">
        <v>32</v>
      </c>
      <c r="E395" s="30" t="s">
        <v>457</v>
      </c>
      <c r="F395" s="59"/>
      <c r="G395" s="33"/>
      <c r="H395" s="33"/>
      <c r="I395" s="30"/>
      <c r="J395" s="30" t="str">
        <f t="shared" ca="1" si="6"/>
        <v>Nadcházející</v>
      </c>
    </row>
    <row r="396" spans="1:10" ht="26.1" customHeight="1" x14ac:dyDescent="0.2">
      <c r="A396" s="57">
        <v>46488</v>
      </c>
      <c r="B396" s="33" t="s">
        <v>526</v>
      </c>
      <c r="C396" s="30" t="s">
        <v>16</v>
      </c>
      <c r="D396" s="30" t="s">
        <v>34</v>
      </c>
      <c r="E396" s="30" t="s">
        <v>630</v>
      </c>
      <c r="F396" s="59" t="s">
        <v>733</v>
      </c>
      <c r="G396" s="33"/>
      <c r="H396" s="33"/>
      <c r="I396" s="30"/>
      <c r="J396" s="30" t="str">
        <f t="shared" ca="1" si="6"/>
        <v>Nadcházející</v>
      </c>
    </row>
    <row r="397" spans="1:10" ht="26.1" customHeight="1" x14ac:dyDescent="0.2">
      <c r="A397" s="57">
        <v>46488</v>
      </c>
      <c r="B397" s="33" t="s">
        <v>526</v>
      </c>
      <c r="C397" s="30" t="s">
        <v>20</v>
      </c>
      <c r="D397" s="30" t="s">
        <v>34</v>
      </c>
      <c r="E397" s="30" t="s">
        <v>617</v>
      </c>
      <c r="F397" s="59" t="s">
        <v>847</v>
      </c>
      <c r="G397" s="33"/>
      <c r="H397" s="33"/>
      <c r="I397" s="30"/>
      <c r="J397" s="30" t="str">
        <f t="shared" ca="1" si="6"/>
        <v>Nadcházející</v>
      </c>
    </row>
    <row r="398" spans="1:10" ht="26.1" customHeight="1" x14ac:dyDescent="0.2">
      <c r="A398" s="57">
        <v>46488</v>
      </c>
      <c r="B398" s="33" t="s">
        <v>526</v>
      </c>
      <c r="C398" s="30" t="s">
        <v>2</v>
      </c>
      <c r="D398" s="30" t="s">
        <v>26</v>
      </c>
      <c r="E398" s="30" t="s">
        <v>444</v>
      </c>
      <c r="F398" s="59"/>
      <c r="G398" s="33"/>
      <c r="H398" s="33"/>
      <c r="I398" s="30"/>
      <c r="J398" s="30" t="str">
        <f t="shared" ca="1" si="6"/>
        <v>Nadcházející</v>
      </c>
    </row>
    <row r="399" spans="1:10" ht="26.1" customHeight="1" x14ac:dyDescent="0.2">
      <c r="A399" s="57">
        <v>46488</v>
      </c>
      <c r="B399" s="33" t="s">
        <v>526</v>
      </c>
      <c r="C399" s="30" t="s">
        <v>10</v>
      </c>
      <c r="D399" s="30" t="s">
        <v>32</v>
      </c>
      <c r="E399" s="30" t="s">
        <v>446</v>
      </c>
      <c r="F399" s="59"/>
      <c r="G399" s="33"/>
      <c r="H399" s="33"/>
      <c r="I399" s="30"/>
      <c r="J399" s="30" t="str">
        <f t="shared" ca="1" si="6"/>
        <v>Nadcházející</v>
      </c>
    </row>
    <row r="400" spans="1:10" ht="26.1" customHeight="1" x14ac:dyDescent="0.2">
      <c r="A400" s="57">
        <v>46488</v>
      </c>
      <c r="B400" s="33" t="s">
        <v>526</v>
      </c>
      <c r="C400" s="30" t="s">
        <v>11</v>
      </c>
      <c r="D400" s="30" t="s">
        <v>32</v>
      </c>
      <c r="E400" s="30" t="s">
        <v>457</v>
      </c>
      <c r="F400" s="59"/>
      <c r="G400" s="33"/>
      <c r="H400" s="33"/>
      <c r="I400" s="30"/>
      <c r="J400" s="30" t="str">
        <f t="shared" ca="1" si="6"/>
        <v>Nadcházející</v>
      </c>
    </row>
    <row r="401" spans="1:10" ht="26.1" customHeight="1" x14ac:dyDescent="0.2">
      <c r="A401" s="57">
        <v>46494</v>
      </c>
      <c r="B401" s="33" t="s">
        <v>523</v>
      </c>
      <c r="C401" s="30" t="s">
        <v>8</v>
      </c>
      <c r="D401" s="30" t="s">
        <v>31</v>
      </c>
      <c r="E401" s="30" t="s">
        <v>468</v>
      </c>
      <c r="F401" s="59"/>
      <c r="G401" s="33"/>
      <c r="H401" s="33"/>
      <c r="I401" s="30"/>
      <c r="J401" s="30" t="str">
        <f t="shared" ca="1" si="6"/>
        <v>Nadcházející</v>
      </c>
    </row>
    <row r="402" spans="1:10" ht="26.1" customHeight="1" x14ac:dyDescent="0.2">
      <c r="A402" s="57">
        <v>46494</v>
      </c>
      <c r="B402" s="33" t="s">
        <v>523</v>
      </c>
      <c r="C402" s="30" t="s">
        <v>19</v>
      </c>
      <c r="D402" s="30" t="s">
        <v>26</v>
      </c>
      <c r="E402" s="30" t="s">
        <v>470</v>
      </c>
      <c r="F402" s="59"/>
      <c r="G402" s="33"/>
      <c r="H402" s="33"/>
      <c r="I402" s="30"/>
      <c r="J402" s="30" t="str">
        <f t="shared" ca="1" si="6"/>
        <v>Nadcházející</v>
      </c>
    </row>
    <row r="403" spans="1:10" ht="26.1" customHeight="1" x14ac:dyDescent="0.2">
      <c r="A403" s="57">
        <v>46494</v>
      </c>
      <c r="B403" s="33" t="s">
        <v>523</v>
      </c>
      <c r="C403" s="30" t="s">
        <v>23</v>
      </c>
      <c r="D403" s="30" t="s">
        <v>26</v>
      </c>
      <c r="E403" s="30" t="s">
        <v>470</v>
      </c>
      <c r="F403" s="59"/>
      <c r="G403" s="33"/>
      <c r="H403" s="33"/>
      <c r="I403" s="30"/>
      <c r="J403" s="30" t="str">
        <f t="shared" ca="1" si="6"/>
        <v>Nadcházející</v>
      </c>
    </row>
    <row r="404" spans="1:10" ht="26.1" customHeight="1" x14ac:dyDescent="0.2">
      <c r="A404" s="57">
        <v>46494</v>
      </c>
      <c r="B404" s="33" t="s">
        <v>523</v>
      </c>
      <c r="C404" s="30" t="s">
        <v>21</v>
      </c>
      <c r="D404" s="30" t="s">
        <v>34</v>
      </c>
      <c r="E404" s="30" t="s">
        <v>471</v>
      </c>
      <c r="F404" s="59"/>
      <c r="G404" s="33"/>
      <c r="H404" s="33"/>
      <c r="I404" s="30"/>
      <c r="J404" s="30" t="str">
        <f t="shared" ca="1" si="6"/>
        <v>Nadcházející</v>
      </c>
    </row>
    <row r="405" spans="1:10" ht="26.1" customHeight="1" x14ac:dyDescent="0.2">
      <c r="A405" s="57">
        <v>46494</v>
      </c>
      <c r="B405" s="33" t="s">
        <v>523</v>
      </c>
      <c r="C405" s="30" t="s">
        <v>1</v>
      </c>
      <c r="D405" s="30" t="s">
        <v>25</v>
      </c>
      <c r="E405" s="30" t="s">
        <v>698</v>
      </c>
      <c r="F405" s="59" t="s">
        <v>848</v>
      </c>
      <c r="G405" s="33"/>
      <c r="H405" s="33"/>
      <c r="I405" s="30"/>
      <c r="J405" s="30" t="str">
        <f t="shared" ca="1" si="6"/>
        <v>Nadcházející</v>
      </c>
    </row>
    <row r="406" spans="1:10" ht="26.1" customHeight="1" x14ac:dyDescent="0.2">
      <c r="A406" s="57">
        <v>46494</v>
      </c>
      <c r="B406" s="33" t="s">
        <v>523</v>
      </c>
      <c r="C406" s="30" t="s">
        <v>13</v>
      </c>
      <c r="D406" s="30" t="s">
        <v>32</v>
      </c>
      <c r="E406" s="30" t="s">
        <v>469</v>
      </c>
      <c r="F406" s="59"/>
      <c r="G406" s="33"/>
      <c r="H406" s="33"/>
      <c r="I406" s="30"/>
      <c r="J406" s="30" t="str">
        <f t="shared" ca="1" si="6"/>
        <v>Nadcházející</v>
      </c>
    </row>
    <row r="407" spans="1:10" ht="26.1" customHeight="1" x14ac:dyDescent="0.2">
      <c r="A407" s="57">
        <v>46494</v>
      </c>
      <c r="B407" s="33" t="s">
        <v>523</v>
      </c>
      <c r="C407" s="30" t="s">
        <v>14</v>
      </c>
      <c r="D407" s="30" t="s">
        <v>32</v>
      </c>
      <c r="E407" s="30" t="s">
        <v>469</v>
      </c>
      <c r="F407" s="59"/>
      <c r="G407" s="33"/>
      <c r="H407" s="33"/>
      <c r="I407" s="30"/>
      <c r="J407" s="30" t="str">
        <f t="shared" ca="1" si="6"/>
        <v>Nadcházející</v>
      </c>
    </row>
    <row r="408" spans="1:10" ht="26.1" customHeight="1" x14ac:dyDescent="0.2">
      <c r="A408" s="57">
        <v>46494</v>
      </c>
      <c r="B408" s="33" t="s">
        <v>523</v>
      </c>
      <c r="C408" s="30" t="s">
        <v>3</v>
      </c>
      <c r="D408" s="30" t="s">
        <v>27</v>
      </c>
      <c r="E408" s="30" t="s">
        <v>466</v>
      </c>
      <c r="F408" s="59"/>
      <c r="G408" s="33"/>
      <c r="H408" s="33"/>
      <c r="I408" s="30"/>
      <c r="J408" s="30" t="str">
        <f t="shared" ca="1" si="6"/>
        <v>Nadcházející</v>
      </c>
    </row>
    <row r="409" spans="1:10" ht="26.1" customHeight="1" x14ac:dyDescent="0.2">
      <c r="A409" s="57">
        <v>46494</v>
      </c>
      <c r="B409" s="33" t="s">
        <v>523</v>
      </c>
      <c r="C409" s="30" t="s">
        <v>4</v>
      </c>
      <c r="D409" s="30" t="s">
        <v>28</v>
      </c>
      <c r="E409" s="30" t="s">
        <v>467</v>
      </c>
      <c r="F409" s="59"/>
      <c r="G409" s="33"/>
      <c r="H409" s="33"/>
      <c r="I409" s="30"/>
      <c r="J409" s="30" t="str">
        <f t="shared" ca="1" si="6"/>
        <v>Nadcházející</v>
      </c>
    </row>
    <row r="410" spans="1:10" ht="26.1" customHeight="1" x14ac:dyDescent="0.2">
      <c r="A410" s="57">
        <v>46494</v>
      </c>
      <c r="B410" s="33" t="s">
        <v>523</v>
      </c>
      <c r="C410" s="30" t="s">
        <v>5</v>
      </c>
      <c r="D410" s="30" t="s">
        <v>28</v>
      </c>
      <c r="E410" s="30" t="s">
        <v>467</v>
      </c>
      <c r="F410" s="59"/>
      <c r="G410" s="33"/>
      <c r="H410" s="33"/>
      <c r="I410" s="30"/>
      <c r="J410" s="30" t="str">
        <f t="shared" ca="1" si="6"/>
        <v>Nadcházející</v>
      </c>
    </row>
    <row r="411" spans="1:10" ht="26.1" customHeight="1" x14ac:dyDescent="0.2">
      <c r="A411" s="57">
        <v>46495</v>
      </c>
      <c r="B411" s="33" t="s">
        <v>526</v>
      </c>
      <c r="C411" s="30" t="s">
        <v>8</v>
      </c>
      <c r="D411" s="30" t="s">
        <v>31</v>
      </c>
      <c r="E411" s="30" t="s">
        <v>468</v>
      </c>
      <c r="F411" s="59"/>
      <c r="G411" s="33"/>
      <c r="H411" s="33"/>
      <c r="I411" s="30"/>
      <c r="J411" s="30" t="str">
        <f t="shared" ca="1" si="6"/>
        <v>Nadcházející</v>
      </c>
    </row>
    <row r="412" spans="1:10" ht="26.1" customHeight="1" x14ac:dyDescent="0.2">
      <c r="A412" s="57">
        <v>46495</v>
      </c>
      <c r="B412" s="33" t="s">
        <v>526</v>
      </c>
      <c r="C412" s="30" t="s">
        <v>1</v>
      </c>
      <c r="D412" s="30" t="s">
        <v>25</v>
      </c>
      <c r="E412" s="30" t="s">
        <v>762</v>
      </c>
      <c r="F412" s="59" t="s">
        <v>849</v>
      </c>
      <c r="G412" s="33"/>
      <c r="H412" s="33"/>
      <c r="I412" s="30"/>
      <c r="J412" s="30" t="str">
        <f t="shared" ca="1" si="6"/>
        <v>Nadcházející</v>
      </c>
    </row>
    <row r="413" spans="1:10" ht="26.1" customHeight="1" x14ac:dyDescent="0.2">
      <c r="A413" s="57">
        <v>46495</v>
      </c>
      <c r="B413" s="33" t="s">
        <v>526</v>
      </c>
      <c r="C413" s="30" t="s">
        <v>13</v>
      </c>
      <c r="D413" s="30" t="s">
        <v>32</v>
      </c>
      <c r="E413" s="30" t="s">
        <v>469</v>
      </c>
      <c r="F413" s="59"/>
      <c r="G413" s="33"/>
      <c r="H413" s="33"/>
      <c r="I413" s="30"/>
      <c r="J413" s="30" t="str">
        <f t="shared" ca="1" si="6"/>
        <v>Nadcházející</v>
      </c>
    </row>
    <row r="414" spans="1:10" ht="26.1" customHeight="1" x14ac:dyDescent="0.2">
      <c r="A414" s="57">
        <v>46495</v>
      </c>
      <c r="B414" s="33" t="s">
        <v>526</v>
      </c>
      <c r="C414" s="30" t="s">
        <v>14</v>
      </c>
      <c r="D414" s="30" t="s">
        <v>32</v>
      </c>
      <c r="E414" s="30" t="s">
        <v>469</v>
      </c>
      <c r="F414" s="59"/>
      <c r="G414" s="33"/>
      <c r="H414" s="33"/>
      <c r="I414" s="30"/>
      <c r="J414" s="30" t="str">
        <f t="shared" ca="1" si="6"/>
        <v>Nadcházející</v>
      </c>
    </row>
    <row r="415" spans="1:10" ht="26.1" customHeight="1" x14ac:dyDescent="0.2">
      <c r="A415" s="57">
        <v>46495</v>
      </c>
      <c r="B415" s="33" t="s">
        <v>526</v>
      </c>
      <c r="C415" s="30" t="s">
        <v>3</v>
      </c>
      <c r="D415" s="30" t="s">
        <v>27</v>
      </c>
      <c r="E415" s="30" t="s">
        <v>466</v>
      </c>
      <c r="F415" s="59"/>
      <c r="G415" s="33"/>
      <c r="H415" s="33"/>
      <c r="I415" s="30"/>
      <c r="J415" s="30" t="str">
        <f t="shared" ca="1" si="6"/>
        <v>Nadcházející</v>
      </c>
    </row>
    <row r="416" spans="1:10" ht="26.1" customHeight="1" x14ac:dyDescent="0.2">
      <c r="A416" s="57">
        <v>46495</v>
      </c>
      <c r="B416" s="33" t="s">
        <v>526</v>
      </c>
      <c r="C416" s="30" t="s">
        <v>4</v>
      </c>
      <c r="D416" s="30" t="s">
        <v>28</v>
      </c>
      <c r="E416" s="30" t="s">
        <v>467</v>
      </c>
      <c r="F416" s="59"/>
      <c r="G416" s="33"/>
      <c r="H416" s="33"/>
      <c r="I416" s="30"/>
      <c r="J416" s="30" t="str">
        <f t="shared" ca="1" si="6"/>
        <v>Nadcházející</v>
      </c>
    </row>
    <row r="417" spans="1:10" ht="26.1" customHeight="1" x14ac:dyDescent="0.2">
      <c r="A417" s="57">
        <v>46495</v>
      </c>
      <c r="B417" s="33" t="s">
        <v>526</v>
      </c>
      <c r="C417" s="30" t="s">
        <v>5</v>
      </c>
      <c r="D417" s="30" t="s">
        <v>28</v>
      </c>
      <c r="E417" s="30" t="s">
        <v>467</v>
      </c>
      <c r="F417" s="59"/>
      <c r="G417" s="33"/>
      <c r="H417" s="33"/>
      <c r="I417" s="30"/>
      <c r="J417" s="30" t="str">
        <f t="shared" ca="1" si="6"/>
        <v>Nadcházející</v>
      </c>
    </row>
    <row r="418" spans="1:10" ht="26.1" customHeight="1" x14ac:dyDescent="0.2">
      <c r="A418" s="57">
        <v>46501</v>
      </c>
      <c r="B418" s="33" t="s">
        <v>523</v>
      </c>
      <c r="C418" s="30" t="s">
        <v>16</v>
      </c>
      <c r="D418" s="30" t="s">
        <v>34</v>
      </c>
      <c r="E418" s="30" t="s">
        <v>634</v>
      </c>
      <c r="F418" s="59" t="s">
        <v>713</v>
      </c>
      <c r="G418" s="33"/>
      <c r="H418" s="33"/>
      <c r="I418" s="30"/>
      <c r="J418" s="30" t="str">
        <f t="shared" ca="1" si="6"/>
        <v>Nadcházející</v>
      </c>
    </row>
    <row r="419" spans="1:10" ht="26.1" customHeight="1" x14ac:dyDescent="0.2">
      <c r="A419" s="57">
        <v>46501</v>
      </c>
      <c r="B419" s="33" t="s">
        <v>523</v>
      </c>
      <c r="C419" s="30" t="s">
        <v>20</v>
      </c>
      <c r="D419" s="30" t="s">
        <v>34</v>
      </c>
      <c r="E419" s="30" t="s">
        <v>554</v>
      </c>
      <c r="F419" s="59" t="s">
        <v>850</v>
      </c>
      <c r="G419" s="33"/>
      <c r="H419" s="33"/>
      <c r="I419" s="30"/>
      <c r="J419" s="30" t="str">
        <f t="shared" ca="1" si="6"/>
        <v>Nadcházející</v>
      </c>
    </row>
    <row r="420" spans="1:10" ht="26.1" customHeight="1" x14ac:dyDescent="0.2">
      <c r="A420" s="57">
        <v>46501</v>
      </c>
      <c r="B420" s="33" t="s">
        <v>523</v>
      </c>
      <c r="C420" s="30" t="s">
        <v>1</v>
      </c>
      <c r="D420" s="30" t="s">
        <v>25</v>
      </c>
      <c r="E420" s="30" t="s">
        <v>444</v>
      </c>
      <c r="F420" s="59"/>
      <c r="G420" s="33"/>
      <c r="H420" s="33"/>
      <c r="I420" s="30"/>
      <c r="J420" s="30" t="str">
        <f t="shared" ca="1" si="6"/>
        <v>Nadcházející</v>
      </c>
    </row>
    <row r="421" spans="1:10" ht="26.1" customHeight="1" x14ac:dyDescent="0.2">
      <c r="A421" s="57">
        <v>46501</v>
      </c>
      <c r="B421" s="33" t="s">
        <v>523</v>
      </c>
      <c r="C421" s="30" t="s">
        <v>2</v>
      </c>
      <c r="D421" s="30" t="s">
        <v>26</v>
      </c>
      <c r="E421" s="30" t="s">
        <v>467</v>
      </c>
      <c r="F421" s="59"/>
      <c r="G421" s="33"/>
      <c r="H421" s="33"/>
      <c r="I421" s="30"/>
      <c r="J421" s="30" t="str">
        <f t="shared" ca="1" si="6"/>
        <v>Nadcházející</v>
      </c>
    </row>
    <row r="422" spans="1:10" ht="26.1" customHeight="1" x14ac:dyDescent="0.2">
      <c r="A422" s="57">
        <v>46502</v>
      </c>
      <c r="B422" s="33" t="s">
        <v>526</v>
      </c>
      <c r="C422" s="30" t="s">
        <v>20</v>
      </c>
      <c r="D422" s="30" t="s">
        <v>34</v>
      </c>
      <c r="E422" s="30" t="s">
        <v>558</v>
      </c>
      <c r="F422" s="59" t="s">
        <v>616</v>
      </c>
      <c r="G422" s="33"/>
      <c r="H422" s="33"/>
      <c r="I422" s="30"/>
      <c r="J422" s="30" t="str">
        <f t="shared" ca="1" si="6"/>
        <v>Nadcházející</v>
      </c>
    </row>
    <row r="423" spans="1:10" ht="26.1" customHeight="1" x14ac:dyDescent="0.2">
      <c r="A423" s="57">
        <v>46502</v>
      </c>
      <c r="B423" s="33" t="s">
        <v>526</v>
      </c>
      <c r="C423" s="30" t="s">
        <v>1</v>
      </c>
      <c r="D423" s="30" t="s">
        <v>25</v>
      </c>
      <c r="E423" s="30" t="s">
        <v>444</v>
      </c>
      <c r="F423" s="59"/>
      <c r="G423" s="33"/>
      <c r="H423" s="33"/>
      <c r="I423" s="30"/>
      <c r="J423" s="30" t="str">
        <f t="shared" ca="1" si="6"/>
        <v>Nadcházející</v>
      </c>
    </row>
    <row r="424" spans="1:10" ht="26.1" customHeight="1" x14ac:dyDescent="0.2">
      <c r="A424" s="57">
        <v>46502</v>
      </c>
      <c r="B424" s="33" t="s">
        <v>526</v>
      </c>
      <c r="C424" s="30" t="s">
        <v>2</v>
      </c>
      <c r="D424" s="30" t="s">
        <v>26</v>
      </c>
      <c r="E424" s="30" t="s">
        <v>467</v>
      </c>
      <c r="F424" s="59"/>
      <c r="G424" s="33"/>
      <c r="H424" s="33"/>
      <c r="I424" s="30"/>
      <c r="J424" s="30" t="str">
        <f t="shared" ca="1" si="6"/>
        <v>Nadcházející</v>
      </c>
    </row>
    <row r="425" spans="1:10" ht="26.1" customHeight="1" x14ac:dyDescent="0.2">
      <c r="A425" s="57">
        <v>46508</v>
      </c>
      <c r="B425" s="33" t="s">
        <v>523</v>
      </c>
      <c r="C425" s="30" t="s">
        <v>8</v>
      </c>
      <c r="D425" s="30" t="s">
        <v>31</v>
      </c>
      <c r="E425" s="30" t="s">
        <v>482</v>
      </c>
      <c r="F425" s="59"/>
      <c r="G425" s="33"/>
      <c r="H425" s="33"/>
      <c r="I425" s="30"/>
      <c r="J425" s="30" t="str">
        <f t="shared" ca="1" si="6"/>
        <v>Nadcházející</v>
      </c>
    </row>
    <row r="426" spans="1:10" ht="26.1" customHeight="1" x14ac:dyDescent="0.2">
      <c r="A426" s="57">
        <v>46508</v>
      </c>
      <c r="B426" s="33" t="s">
        <v>523</v>
      </c>
      <c r="C426" s="30" t="s">
        <v>1</v>
      </c>
      <c r="D426" s="30" t="s">
        <v>25</v>
      </c>
      <c r="E426" s="30" t="s">
        <v>467</v>
      </c>
      <c r="F426" s="59"/>
      <c r="G426" s="33"/>
      <c r="H426" s="33"/>
      <c r="I426" s="30"/>
      <c r="J426" s="30" t="str">
        <f t="shared" ca="1" si="6"/>
        <v>Nadcházející</v>
      </c>
    </row>
    <row r="427" spans="1:10" ht="26.1" customHeight="1" x14ac:dyDescent="0.2">
      <c r="A427" s="57">
        <v>46508</v>
      </c>
      <c r="B427" s="33" t="s">
        <v>523</v>
      </c>
      <c r="C427" s="30" t="s">
        <v>3</v>
      </c>
      <c r="D427" s="30" t="s">
        <v>27</v>
      </c>
      <c r="E427" s="30" t="s">
        <v>481</v>
      </c>
      <c r="F427" s="59"/>
      <c r="G427" s="33"/>
      <c r="H427" s="33"/>
      <c r="I427" s="30"/>
      <c r="J427" s="30" t="str">
        <f t="shared" ca="1" si="6"/>
        <v>Nadcházející</v>
      </c>
    </row>
    <row r="428" spans="1:10" ht="26.1" customHeight="1" x14ac:dyDescent="0.2">
      <c r="A428" s="57">
        <v>46509</v>
      </c>
      <c r="B428" s="33" t="s">
        <v>526</v>
      </c>
      <c r="C428" s="30" t="s">
        <v>8</v>
      </c>
      <c r="D428" s="30" t="s">
        <v>31</v>
      </c>
      <c r="E428" s="30" t="s">
        <v>482</v>
      </c>
      <c r="F428" s="59"/>
      <c r="G428" s="33"/>
      <c r="H428" s="33"/>
      <c r="I428" s="30"/>
      <c r="J428" s="30" t="str">
        <f t="shared" ca="1" si="6"/>
        <v>Nadcházející</v>
      </c>
    </row>
    <row r="429" spans="1:10" ht="26.1" customHeight="1" x14ac:dyDescent="0.2">
      <c r="A429" s="57">
        <v>46509</v>
      </c>
      <c r="B429" s="33" t="s">
        <v>526</v>
      </c>
      <c r="C429" s="30" t="s">
        <v>1</v>
      </c>
      <c r="D429" s="30" t="s">
        <v>25</v>
      </c>
      <c r="E429" s="30" t="s">
        <v>467</v>
      </c>
      <c r="F429" s="59"/>
      <c r="G429" s="33"/>
      <c r="H429" s="33"/>
      <c r="I429" s="30"/>
      <c r="J429" s="30" t="str">
        <f t="shared" ca="1" si="6"/>
        <v>Nadcházející</v>
      </c>
    </row>
    <row r="430" spans="1:10" ht="26.1" customHeight="1" x14ac:dyDescent="0.2">
      <c r="A430" s="58">
        <v>46509</v>
      </c>
      <c r="B430" s="34" t="s">
        <v>526</v>
      </c>
      <c r="C430" s="31" t="s">
        <v>3</v>
      </c>
      <c r="D430" s="31" t="s">
        <v>27</v>
      </c>
      <c r="E430" s="31" t="s">
        <v>481</v>
      </c>
      <c r="F430" s="60"/>
      <c r="G430" s="34"/>
      <c r="H430" s="34"/>
      <c r="I430" s="31"/>
      <c r="J430" s="31" t="str">
        <f t="shared" ca="1" si="6"/>
        <v>Nadcházející</v>
      </c>
    </row>
  </sheetData>
  <mergeCells count="2">
    <mergeCell ref="A1:J1"/>
    <mergeCell ref="A2:J2"/>
  </mergeCells>
  <conditionalFormatting sqref="A5:J430">
    <cfRule type="expression" dxfId="10" priority="4">
      <formula>$A5=_xludf.MINIFS($A$5:$A$430,$A$5:$A$430,"&gt;="&amp;TODAY())</formula>
    </cfRule>
  </conditionalFormatting>
  <conditionalFormatting sqref="J5:J430">
    <cfRule type="containsText" dxfId="9" priority="1" operator="containsText" text="Odehráno"/>
    <cfRule type="containsText" dxfId="8" priority="2" operator="containsText" text="Dnes"/>
    <cfRule type="containsText" dxfId="7" priority="3" operator="containsText" text="Nadcházející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H30"/>
  <sheetViews>
    <sheetView showGridLines="0" workbookViewId="0"/>
  </sheetViews>
  <sheetFormatPr defaultRowHeight="12.75" x14ac:dyDescent="0.2"/>
  <cols>
    <col min="1" max="216" width="11" customWidth="1"/>
  </cols>
  <sheetData>
    <row r="1" spans="1:216" ht="26.1" customHeight="1" x14ac:dyDescent="0.2">
      <c r="A1" s="36" t="s">
        <v>1</v>
      </c>
      <c r="B1" s="36"/>
      <c r="C1" s="36"/>
      <c r="D1" s="36"/>
      <c r="E1" s="36"/>
      <c r="F1" s="36"/>
      <c r="G1" s="36"/>
      <c r="H1" s="36"/>
      <c r="I1" s="36"/>
      <c r="J1" s="36" t="s">
        <v>2</v>
      </c>
      <c r="K1" s="36"/>
      <c r="L1" s="36"/>
      <c r="M1" s="36"/>
      <c r="N1" s="36"/>
      <c r="O1" s="36"/>
      <c r="P1" s="36"/>
      <c r="Q1" s="36"/>
      <c r="R1" s="36"/>
      <c r="S1" s="36" t="s">
        <v>3</v>
      </c>
      <c r="T1" s="36"/>
      <c r="U1" s="36"/>
      <c r="V1" s="36"/>
      <c r="W1" s="36"/>
      <c r="X1" s="36"/>
      <c r="Y1" s="36"/>
      <c r="Z1" s="36"/>
      <c r="AA1" s="36"/>
      <c r="AB1" s="36" t="s">
        <v>4</v>
      </c>
      <c r="AC1" s="36"/>
      <c r="AD1" s="36"/>
      <c r="AE1" s="36"/>
      <c r="AF1" s="36"/>
      <c r="AG1" s="36"/>
      <c r="AH1" s="36"/>
      <c r="AI1" s="36"/>
      <c r="AJ1" s="36"/>
      <c r="AK1" s="36" t="s">
        <v>5</v>
      </c>
      <c r="AL1" s="36"/>
      <c r="AM1" s="36"/>
      <c r="AN1" s="36"/>
      <c r="AO1" s="36"/>
      <c r="AP1" s="36"/>
      <c r="AQ1" s="36"/>
      <c r="AR1" s="36"/>
      <c r="AS1" s="36"/>
      <c r="AT1" s="36" t="s">
        <v>6</v>
      </c>
      <c r="AU1" s="36"/>
      <c r="AV1" s="36"/>
      <c r="AW1" s="36"/>
      <c r="AX1" s="36"/>
      <c r="AY1" s="36"/>
      <c r="AZ1" s="36"/>
      <c r="BA1" s="36"/>
      <c r="BB1" s="36"/>
      <c r="BC1" s="36" t="s">
        <v>7</v>
      </c>
      <c r="BD1" s="36"/>
      <c r="BE1" s="36"/>
      <c r="BF1" s="36"/>
      <c r="BG1" s="36"/>
      <c r="BH1" s="36"/>
      <c r="BI1" s="36"/>
      <c r="BJ1" s="36"/>
      <c r="BK1" s="36"/>
      <c r="BL1" s="36" t="s">
        <v>8</v>
      </c>
      <c r="BM1" s="36"/>
      <c r="BN1" s="36"/>
      <c r="BO1" s="36"/>
      <c r="BP1" s="36"/>
      <c r="BQ1" s="36"/>
      <c r="BR1" s="36"/>
      <c r="BS1" s="36"/>
      <c r="BT1" s="36"/>
      <c r="BU1" s="36" t="s">
        <v>9</v>
      </c>
      <c r="BV1" s="36"/>
      <c r="BW1" s="36"/>
      <c r="BX1" s="36"/>
      <c r="BY1" s="36"/>
      <c r="BZ1" s="36"/>
      <c r="CA1" s="36"/>
      <c r="CB1" s="36"/>
      <c r="CC1" s="36"/>
      <c r="CD1" s="36" t="s">
        <v>10</v>
      </c>
      <c r="CE1" s="36"/>
      <c r="CF1" s="36"/>
      <c r="CG1" s="36"/>
      <c r="CH1" s="36"/>
      <c r="CI1" s="36"/>
      <c r="CJ1" s="36"/>
      <c r="CK1" s="36"/>
      <c r="CL1" s="36"/>
      <c r="CM1" s="36" t="s">
        <v>11</v>
      </c>
      <c r="CN1" s="36"/>
      <c r="CO1" s="36"/>
      <c r="CP1" s="36"/>
      <c r="CQ1" s="36"/>
      <c r="CR1" s="36"/>
      <c r="CS1" s="36"/>
      <c r="CT1" s="36"/>
      <c r="CU1" s="36"/>
      <c r="CV1" s="36" t="s">
        <v>12</v>
      </c>
      <c r="CW1" s="36"/>
      <c r="CX1" s="36"/>
      <c r="CY1" s="36"/>
      <c r="CZ1" s="36"/>
      <c r="DA1" s="36"/>
      <c r="DB1" s="36"/>
      <c r="DC1" s="36"/>
      <c r="DD1" s="36"/>
      <c r="DE1" s="36" t="s">
        <v>13</v>
      </c>
      <c r="DF1" s="36"/>
      <c r="DG1" s="36"/>
      <c r="DH1" s="36"/>
      <c r="DI1" s="36"/>
      <c r="DJ1" s="36"/>
      <c r="DK1" s="36"/>
      <c r="DL1" s="36"/>
      <c r="DM1" s="36"/>
      <c r="DN1" s="36" t="s">
        <v>14</v>
      </c>
      <c r="DO1" s="36"/>
      <c r="DP1" s="36"/>
      <c r="DQ1" s="36"/>
      <c r="DR1" s="36"/>
      <c r="DS1" s="36"/>
      <c r="DT1" s="36"/>
      <c r="DU1" s="36"/>
      <c r="DV1" s="36"/>
      <c r="DW1" s="36" t="s">
        <v>15</v>
      </c>
      <c r="DX1" s="36"/>
      <c r="DY1" s="36"/>
      <c r="DZ1" s="36"/>
      <c r="EA1" s="36"/>
      <c r="EB1" s="36"/>
      <c r="EC1" s="36"/>
      <c r="ED1" s="36"/>
      <c r="EE1" s="36"/>
      <c r="EF1" s="36" t="s">
        <v>16</v>
      </c>
      <c r="EG1" s="36"/>
      <c r="EH1" s="36"/>
      <c r="EI1" s="36"/>
      <c r="EJ1" s="36"/>
      <c r="EK1" s="36"/>
      <c r="EL1" s="36"/>
      <c r="EM1" s="36"/>
      <c r="EN1" s="36"/>
      <c r="EO1" s="36" t="s">
        <v>17</v>
      </c>
      <c r="EP1" s="36"/>
      <c r="EQ1" s="36"/>
      <c r="ER1" s="36"/>
      <c r="ES1" s="36"/>
      <c r="ET1" s="36"/>
      <c r="EU1" s="36"/>
      <c r="EV1" s="36"/>
      <c r="EW1" s="36"/>
      <c r="EX1" s="36" t="s">
        <v>18</v>
      </c>
      <c r="EY1" s="36"/>
      <c r="EZ1" s="36"/>
      <c r="FA1" s="36"/>
      <c r="FB1" s="36"/>
      <c r="FC1" s="36"/>
      <c r="FD1" s="36"/>
      <c r="FE1" s="36"/>
      <c r="FF1" s="36"/>
      <c r="FG1" s="36" t="s">
        <v>19</v>
      </c>
      <c r="FH1" s="36"/>
      <c r="FI1" s="36"/>
      <c r="FJ1" s="36"/>
      <c r="FK1" s="36"/>
      <c r="FL1" s="36"/>
      <c r="FM1" s="36"/>
      <c r="FN1" s="36"/>
      <c r="FO1" s="36"/>
      <c r="FP1" s="36" t="s">
        <v>20</v>
      </c>
      <c r="FQ1" s="36"/>
      <c r="FR1" s="36"/>
      <c r="FS1" s="36"/>
      <c r="FT1" s="36"/>
      <c r="FU1" s="36"/>
      <c r="FV1" s="36"/>
      <c r="FW1" s="36"/>
      <c r="FX1" s="36"/>
      <c r="FY1" s="36" t="s">
        <v>21</v>
      </c>
      <c r="FZ1" s="36"/>
      <c r="GA1" s="36"/>
      <c r="GB1" s="36"/>
      <c r="GC1" s="36"/>
      <c r="GD1" s="36"/>
      <c r="GE1" s="36"/>
      <c r="GF1" s="36"/>
      <c r="GG1" s="36"/>
      <c r="GH1" s="36" t="s">
        <v>22</v>
      </c>
      <c r="GI1" s="36"/>
      <c r="GJ1" s="36"/>
      <c r="GK1" s="36"/>
      <c r="GL1" s="36"/>
      <c r="GM1" s="36"/>
      <c r="GN1" s="36"/>
      <c r="GO1" s="36"/>
      <c r="GP1" s="36"/>
      <c r="GQ1" s="36" t="s">
        <v>23</v>
      </c>
      <c r="GR1" s="36"/>
      <c r="GS1" s="36"/>
      <c r="GT1" s="36"/>
      <c r="GU1" s="36"/>
      <c r="GV1" s="36"/>
      <c r="GW1" s="36"/>
      <c r="GX1" s="36"/>
      <c r="GY1" s="36"/>
      <c r="GZ1" s="36" t="s">
        <v>24</v>
      </c>
      <c r="HA1" s="36"/>
      <c r="HB1" s="36"/>
      <c r="HC1" s="36"/>
      <c r="HD1" s="36"/>
      <c r="HE1" s="36"/>
      <c r="HF1" s="36"/>
      <c r="HG1" s="36"/>
      <c r="HH1" s="36"/>
    </row>
    <row r="2" spans="1:216" x14ac:dyDescent="0.2">
      <c r="A2" s="37" t="s">
        <v>510</v>
      </c>
      <c r="B2" s="37" t="s">
        <v>511</v>
      </c>
      <c r="C2" s="37" t="s">
        <v>513</v>
      </c>
      <c r="D2" s="37" t="s">
        <v>514</v>
      </c>
      <c r="E2" s="37" t="s">
        <v>515</v>
      </c>
      <c r="F2" s="37" t="s">
        <v>516</v>
      </c>
      <c r="G2" s="37" t="s">
        <v>517</v>
      </c>
      <c r="H2" s="37" t="s">
        <v>518</v>
      </c>
      <c r="I2" s="37" t="s">
        <v>519</v>
      </c>
      <c r="J2" s="37" t="s">
        <v>510</v>
      </c>
      <c r="K2" s="37" t="s">
        <v>511</v>
      </c>
      <c r="L2" s="37" t="s">
        <v>513</v>
      </c>
      <c r="M2" s="37" t="s">
        <v>514</v>
      </c>
      <c r="N2" s="37" t="s">
        <v>515</v>
      </c>
      <c r="O2" s="37" t="s">
        <v>516</v>
      </c>
      <c r="P2" s="37" t="s">
        <v>517</v>
      </c>
      <c r="Q2" s="37" t="s">
        <v>518</v>
      </c>
      <c r="R2" s="37" t="s">
        <v>519</v>
      </c>
      <c r="S2" s="37" t="s">
        <v>510</v>
      </c>
      <c r="T2" s="37" t="s">
        <v>511</v>
      </c>
      <c r="U2" s="37" t="s">
        <v>513</v>
      </c>
      <c r="V2" s="37" t="s">
        <v>514</v>
      </c>
      <c r="W2" s="37" t="s">
        <v>515</v>
      </c>
      <c r="X2" s="37" t="s">
        <v>516</v>
      </c>
      <c r="Y2" s="37" t="s">
        <v>517</v>
      </c>
      <c r="Z2" s="37" t="s">
        <v>518</v>
      </c>
      <c r="AA2" s="37" t="s">
        <v>519</v>
      </c>
      <c r="AB2" s="37" t="s">
        <v>510</v>
      </c>
      <c r="AC2" s="37" t="s">
        <v>511</v>
      </c>
      <c r="AD2" s="37" t="s">
        <v>513</v>
      </c>
      <c r="AE2" s="37" t="s">
        <v>514</v>
      </c>
      <c r="AF2" s="37" t="s">
        <v>515</v>
      </c>
      <c r="AG2" s="37" t="s">
        <v>516</v>
      </c>
      <c r="AH2" s="37" t="s">
        <v>517</v>
      </c>
      <c r="AI2" s="37" t="s">
        <v>518</v>
      </c>
      <c r="AJ2" s="37" t="s">
        <v>519</v>
      </c>
      <c r="AK2" s="37" t="s">
        <v>510</v>
      </c>
      <c r="AL2" s="37" t="s">
        <v>511</v>
      </c>
      <c r="AM2" s="37" t="s">
        <v>513</v>
      </c>
      <c r="AN2" s="37" t="s">
        <v>514</v>
      </c>
      <c r="AO2" s="37" t="s">
        <v>515</v>
      </c>
      <c r="AP2" s="37" t="s">
        <v>516</v>
      </c>
      <c r="AQ2" s="37" t="s">
        <v>517</v>
      </c>
      <c r="AR2" s="37" t="s">
        <v>518</v>
      </c>
      <c r="AS2" s="37" t="s">
        <v>519</v>
      </c>
      <c r="AT2" s="37" t="s">
        <v>510</v>
      </c>
      <c r="AU2" s="37" t="s">
        <v>511</v>
      </c>
      <c r="AV2" s="37" t="s">
        <v>513</v>
      </c>
      <c r="AW2" s="37" t="s">
        <v>514</v>
      </c>
      <c r="AX2" s="37" t="s">
        <v>515</v>
      </c>
      <c r="AY2" s="37" t="s">
        <v>516</v>
      </c>
      <c r="AZ2" s="37" t="s">
        <v>517</v>
      </c>
      <c r="BA2" s="37" t="s">
        <v>518</v>
      </c>
      <c r="BB2" s="37" t="s">
        <v>519</v>
      </c>
      <c r="BC2" s="37" t="s">
        <v>510</v>
      </c>
      <c r="BD2" s="37" t="s">
        <v>511</v>
      </c>
      <c r="BE2" s="37" t="s">
        <v>513</v>
      </c>
      <c r="BF2" s="37" t="s">
        <v>514</v>
      </c>
      <c r="BG2" s="37" t="s">
        <v>515</v>
      </c>
      <c r="BH2" s="37" t="s">
        <v>516</v>
      </c>
      <c r="BI2" s="37" t="s">
        <v>517</v>
      </c>
      <c r="BJ2" s="37" t="s">
        <v>518</v>
      </c>
      <c r="BK2" s="37" t="s">
        <v>519</v>
      </c>
      <c r="BL2" s="37" t="s">
        <v>510</v>
      </c>
      <c r="BM2" s="37" t="s">
        <v>511</v>
      </c>
      <c r="BN2" s="37" t="s">
        <v>513</v>
      </c>
      <c r="BO2" s="37" t="s">
        <v>514</v>
      </c>
      <c r="BP2" s="37" t="s">
        <v>515</v>
      </c>
      <c r="BQ2" s="37" t="s">
        <v>516</v>
      </c>
      <c r="BR2" s="37" t="s">
        <v>517</v>
      </c>
      <c r="BS2" s="37" t="s">
        <v>518</v>
      </c>
      <c r="BT2" s="37" t="s">
        <v>519</v>
      </c>
      <c r="BU2" s="37" t="s">
        <v>510</v>
      </c>
      <c r="BV2" s="37" t="s">
        <v>511</v>
      </c>
      <c r="BW2" s="37" t="s">
        <v>513</v>
      </c>
      <c r="BX2" s="37" t="s">
        <v>514</v>
      </c>
      <c r="BY2" s="37" t="s">
        <v>515</v>
      </c>
      <c r="BZ2" s="37" t="s">
        <v>516</v>
      </c>
      <c r="CA2" s="37" t="s">
        <v>517</v>
      </c>
      <c r="CB2" s="37" t="s">
        <v>518</v>
      </c>
      <c r="CC2" s="37" t="s">
        <v>519</v>
      </c>
      <c r="CD2" s="37" t="s">
        <v>510</v>
      </c>
      <c r="CE2" s="37" t="s">
        <v>511</v>
      </c>
      <c r="CF2" s="37" t="s">
        <v>513</v>
      </c>
      <c r="CG2" s="37" t="s">
        <v>514</v>
      </c>
      <c r="CH2" s="37" t="s">
        <v>515</v>
      </c>
      <c r="CI2" s="37" t="s">
        <v>516</v>
      </c>
      <c r="CJ2" s="37" t="s">
        <v>517</v>
      </c>
      <c r="CK2" s="37" t="s">
        <v>518</v>
      </c>
      <c r="CL2" s="37" t="s">
        <v>519</v>
      </c>
      <c r="CM2" s="37" t="s">
        <v>510</v>
      </c>
      <c r="CN2" s="37" t="s">
        <v>511</v>
      </c>
      <c r="CO2" s="37" t="s">
        <v>513</v>
      </c>
      <c r="CP2" s="37" t="s">
        <v>514</v>
      </c>
      <c r="CQ2" s="37" t="s">
        <v>515</v>
      </c>
      <c r="CR2" s="37" t="s">
        <v>516</v>
      </c>
      <c r="CS2" s="37" t="s">
        <v>517</v>
      </c>
      <c r="CT2" s="37" t="s">
        <v>518</v>
      </c>
      <c r="CU2" s="37" t="s">
        <v>519</v>
      </c>
      <c r="CV2" s="37" t="s">
        <v>510</v>
      </c>
      <c r="CW2" s="37" t="s">
        <v>511</v>
      </c>
      <c r="CX2" s="37" t="s">
        <v>513</v>
      </c>
      <c r="CY2" s="37" t="s">
        <v>514</v>
      </c>
      <c r="CZ2" s="37" t="s">
        <v>515</v>
      </c>
      <c r="DA2" s="37" t="s">
        <v>516</v>
      </c>
      <c r="DB2" s="37" t="s">
        <v>517</v>
      </c>
      <c r="DC2" s="37" t="s">
        <v>518</v>
      </c>
      <c r="DD2" s="37" t="s">
        <v>519</v>
      </c>
      <c r="DE2" s="37" t="s">
        <v>510</v>
      </c>
      <c r="DF2" s="37" t="s">
        <v>511</v>
      </c>
      <c r="DG2" s="37" t="s">
        <v>513</v>
      </c>
      <c r="DH2" s="37" t="s">
        <v>514</v>
      </c>
      <c r="DI2" s="37" t="s">
        <v>515</v>
      </c>
      <c r="DJ2" s="37" t="s">
        <v>516</v>
      </c>
      <c r="DK2" s="37" t="s">
        <v>517</v>
      </c>
      <c r="DL2" s="37" t="s">
        <v>518</v>
      </c>
      <c r="DM2" s="37" t="s">
        <v>519</v>
      </c>
      <c r="DN2" s="37" t="s">
        <v>510</v>
      </c>
      <c r="DO2" s="37" t="s">
        <v>511</v>
      </c>
      <c r="DP2" s="37" t="s">
        <v>513</v>
      </c>
      <c r="DQ2" s="37" t="s">
        <v>514</v>
      </c>
      <c r="DR2" s="37" t="s">
        <v>515</v>
      </c>
      <c r="DS2" s="37" t="s">
        <v>516</v>
      </c>
      <c r="DT2" s="37" t="s">
        <v>517</v>
      </c>
      <c r="DU2" s="37" t="s">
        <v>518</v>
      </c>
      <c r="DV2" s="37" t="s">
        <v>519</v>
      </c>
      <c r="DW2" s="37" t="s">
        <v>510</v>
      </c>
      <c r="DX2" s="37" t="s">
        <v>511</v>
      </c>
      <c r="DY2" s="37" t="s">
        <v>513</v>
      </c>
      <c r="DZ2" s="37" t="s">
        <v>514</v>
      </c>
      <c r="EA2" s="37" t="s">
        <v>515</v>
      </c>
      <c r="EB2" s="37" t="s">
        <v>516</v>
      </c>
      <c r="EC2" s="37" t="s">
        <v>517</v>
      </c>
      <c r="ED2" s="37" t="s">
        <v>518</v>
      </c>
      <c r="EE2" s="37" t="s">
        <v>519</v>
      </c>
      <c r="EF2" s="37" t="s">
        <v>510</v>
      </c>
      <c r="EG2" s="37" t="s">
        <v>511</v>
      </c>
      <c r="EH2" s="37" t="s">
        <v>513</v>
      </c>
      <c r="EI2" s="37" t="s">
        <v>514</v>
      </c>
      <c r="EJ2" s="37" t="s">
        <v>515</v>
      </c>
      <c r="EK2" s="37" t="s">
        <v>516</v>
      </c>
      <c r="EL2" s="37" t="s">
        <v>517</v>
      </c>
      <c r="EM2" s="37" t="s">
        <v>518</v>
      </c>
      <c r="EN2" s="37" t="s">
        <v>519</v>
      </c>
      <c r="EO2" s="37" t="s">
        <v>510</v>
      </c>
      <c r="EP2" s="37" t="s">
        <v>511</v>
      </c>
      <c r="EQ2" s="37" t="s">
        <v>513</v>
      </c>
      <c r="ER2" s="37" t="s">
        <v>514</v>
      </c>
      <c r="ES2" s="37" t="s">
        <v>515</v>
      </c>
      <c r="ET2" s="37" t="s">
        <v>516</v>
      </c>
      <c r="EU2" s="37" t="s">
        <v>517</v>
      </c>
      <c r="EV2" s="37" t="s">
        <v>518</v>
      </c>
      <c r="EW2" s="37" t="s">
        <v>519</v>
      </c>
      <c r="EX2" s="37" t="s">
        <v>510</v>
      </c>
      <c r="EY2" s="37" t="s">
        <v>511</v>
      </c>
      <c r="EZ2" s="37" t="s">
        <v>513</v>
      </c>
      <c r="FA2" s="37" t="s">
        <v>514</v>
      </c>
      <c r="FB2" s="37" t="s">
        <v>515</v>
      </c>
      <c r="FC2" s="37" t="s">
        <v>516</v>
      </c>
      <c r="FD2" s="37" t="s">
        <v>517</v>
      </c>
      <c r="FE2" s="37" t="s">
        <v>518</v>
      </c>
      <c r="FF2" s="37" t="s">
        <v>519</v>
      </c>
      <c r="FG2" s="37" t="s">
        <v>510</v>
      </c>
      <c r="FH2" s="37" t="s">
        <v>511</v>
      </c>
      <c r="FI2" s="37" t="s">
        <v>513</v>
      </c>
      <c r="FJ2" s="37" t="s">
        <v>514</v>
      </c>
      <c r="FK2" s="37" t="s">
        <v>515</v>
      </c>
      <c r="FL2" s="37" t="s">
        <v>516</v>
      </c>
      <c r="FM2" s="37" t="s">
        <v>517</v>
      </c>
      <c r="FN2" s="37" t="s">
        <v>518</v>
      </c>
      <c r="FO2" s="37" t="s">
        <v>519</v>
      </c>
      <c r="FP2" s="37" t="s">
        <v>510</v>
      </c>
      <c r="FQ2" s="37" t="s">
        <v>511</v>
      </c>
      <c r="FR2" s="37" t="s">
        <v>513</v>
      </c>
      <c r="FS2" s="37" t="s">
        <v>514</v>
      </c>
      <c r="FT2" s="37" t="s">
        <v>515</v>
      </c>
      <c r="FU2" s="37" t="s">
        <v>516</v>
      </c>
      <c r="FV2" s="37" t="s">
        <v>517</v>
      </c>
      <c r="FW2" s="37" t="s">
        <v>518</v>
      </c>
      <c r="FX2" s="37" t="s">
        <v>519</v>
      </c>
      <c r="FY2" s="37" t="s">
        <v>510</v>
      </c>
      <c r="FZ2" s="37" t="s">
        <v>511</v>
      </c>
      <c r="GA2" s="37" t="s">
        <v>513</v>
      </c>
      <c r="GB2" s="37" t="s">
        <v>514</v>
      </c>
      <c r="GC2" s="37" t="s">
        <v>515</v>
      </c>
      <c r="GD2" s="37" t="s">
        <v>516</v>
      </c>
      <c r="GE2" s="37" t="s">
        <v>517</v>
      </c>
      <c r="GF2" s="37" t="s">
        <v>518</v>
      </c>
      <c r="GG2" s="37" t="s">
        <v>519</v>
      </c>
      <c r="GH2" s="37" t="s">
        <v>510</v>
      </c>
      <c r="GI2" s="37" t="s">
        <v>511</v>
      </c>
      <c r="GJ2" s="37" t="s">
        <v>513</v>
      </c>
      <c r="GK2" s="37" t="s">
        <v>514</v>
      </c>
      <c r="GL2" s="37" t="s">
        <v>515</v>
      </c>
      <c r="GM2" s="37" t="s">
        <v>516</v>
      </c>
      <c r="GN2" s="37" t="s">
        <v>517</v>
      </c>
      <c r="GO2" s="37" t="s">
        <v>518</v>
      </c>
      <c r="GP2" s="37" t="s">
        <v>519</v>
      </c>
      <c r="GQ2" s="37" t="s">
        <v>510</v>
      </c>
      <c r="GR2" s="37" t="s">
        <v>511</v>
      </c>
      <c r="GS2" s="37" t="s">
        <v>513</v>
      </c>
      <c r="GT2" s="37" t="s">
        <v>514</v>
      </c>
      <c r="GU2" s="37" t="s">
        <v>515</v>
      </c>
      <c r="GV2" s="37" t="s">
        <v>516</v>
      </c>
      <c r="GW2" s="37" t="s">
        <v>517</v>
      </c>
      <c r="GX2" s="37" t="s">
        <v>518</v>
      </c>
      <c r="GY2" s="37" t="s">
        <v>519</v>
      </c>
      <c r="GZ2" s="37" t="s">
        <v>510</v>
      </c>
      <c r="HA2" s="37" t="s">
        <v>511</v>
      </c>
      <c r="HB2" s="37" t="s">
        <v>513</v>
      </c>
      <c r="HC2" s="37" t="s">
        <v>514</v>
      </c>
      <c r="HD2" s="37" t="s">
        <v>515</v>
      </c>
      <c r="HE2" s="37" t="s">
        <v>516</v>
      </c>
      <c r="HF2" s="37" t="s">
        <v>517</v>
      </c>
      <c r="HG2" s="37" t="s">
        <v>518</v>
      </c>
      <c r="HH2" s="37" t="s">
        <v>519</v>
      </c>
    </row>
    <row r="3" spans="1:216" x14ac:dyDescent="0.2">
      <c r="A3" s="41">
        <f>IF('Seznam zápasů'!A14="","",'Seznam zápasů'!A14)</f>
        <v>46284</v>
      </c>
      <c r="B3" s="38" t="str">
        <f>IF('Seznam zápasů'!B14="","",'Seznam zápasů'!B14)</f>
        <v>So</v>
      </c>
      <c r="C3" s="38" t="str">
        <f>IF('Seznam zápasů'!D14="","",'Seznam zápasů'!D14)</f>
        <v>SBLM</v>
      </c>
      <c r="D3" s="38" t="str">
        <f>IF('Seznam zápasů'!E14="","",'Seznam zápasů'!E14)</f>
        <v>BK Český Brod</v>
      </c>
      <c r="E3" s="44" t="str">
        <f>IF('Seznam zápasů'!F14="","",'Seznam zápasů'!F14)</f>
        <v>004</v>
      </c>
      <c r="F3" s="38" t="str">
        <f>IF('Seznam zápasů'!G14="","",'Seznam zápasů'!G14)</f>
        <v/>
      </c>
      <c r="G3" s="38" t="str">
        <f>IF('Seznam zápasů'!H14="","",'Seznam zápasů'!H14)</f>
        <v/>
      </c>
      <c r="H3" s="38" t="str">
        <f>IF('Seznam zápasů'!I14="","",'Seznam zápasů'!I14)</f>
        <v/>
      </c>
      <c r="I3" s="38" t="str">
        <f ca="1">IF('Seznam zápasů'!J14="","",'Seznam zápasů'!J14)</f>
        <v>Nadcházející</v>
      </c>
      <c r="J3" s="41">
        <f>IF('Seznam zápasů'!A35="","",'Seznam zápasů'!A35)</f>
        <v>46291</v>
      </c>
      <c r="K3" s="38" t="str">
        <f>IF('Seznam zápasů'!B35="","",'Seznam zápasů'!B35)</f>
        <v>So</v>
      </c>
      <c r="L3" s="38" t="str">
        <f>IF('Seznam zápasů'!D35="","",'Seznam zápasů'!D35)</f>
        <v>KP</v>
      </c>
      <c r="M3" s="38" t="str">
        <f>IF('Seznam zápasů'!E35="","",'Seznam zápasů'!E35)</f>
        <v>BK Příbram 2000 "B"</v>
      </c>
      <c r="N3" s="44" t="str">
        <f>IF('Seznam zápasů'!F35="","",'Seznam zápasů'!F35)</f>
        <v>001</v>
      </c>
      <c r="O3" s="38" t="str">
        <f>IF('Seznam zápasů'!G35="","",'Seznam zápasů'!G35)</f>
        <v/>
      </c>
      <c r="P3" s="38" t="str">
        <f>IF('Seznam zápasů'!H35="","",'Seznam zápasů'!H35)</f>
        <v/>
      </c>
      <c r="Q3" s="38" t="str">
        <f>IF('Seznam zápasů'!I35="","",'Seznam zápasů'!I35)</f>
        <v/>
      </c>
      <c r="R3" s="38" t="str">
        <f ca="1">IF('Seznam zápasů'!J35="","",'Seznam zápasů'!J35)</f>
        <v>Nadcházející</v>
      </c>
      <c r="S3" s="41">
        <f>IF('Seznam zápasů'!A18="","",'Seznam zápasů'!A18)</f>
        <v>46284</v>
      </c>
      <c r="T3" s="38" t="str">
        <f>IF('Seznam zápasů'!B18="","",'Seznam zápasů'!B18)</f>
        <v>So</v>
      </c>
      <c r="U3" s="38" t="str">
        <f>IF('Seznam zápasů'!D18="","",'Seznam zápasů'!D18)</f>
        <v>II. Liga</v>
      </c>
      <c r="V3" s="38" t="str">
        <f>IF('Seznam zápasů'!E18="","",'Seznam zápasů'!E18)</f>
        <v>BK Lvice Litoměřice</v>
      </c>
      <c r="W3" s="44" t="str">
        <f>IF('Seznam zápasů'!F18="","",'Seznam zápasů'!F18)</f>
        <v>006</v>
      </c>
      <c r="X3" s="38" t="str">
        <f>IF('Seznam zápasů'!G18="","",'Seznam zápasů'!G18)</f>
        <v/>
      </c>
      <c r="Y3" s="38" t="str">
        <f>IF('Seznam zápasů'!H18="","",'Seznam zápasů'!H18)</f>
        <v/>
      </c>
      <c r="Z3" s="38" t="str">
        <f>IF('Seznam zápasů'!I18="","",'Seznam zápasů'!I18)</f>
        <v/>
      </c>
      <c r="AA3" s="38" t="str">
        <f ca="1">IF('Seznam zápasů'!J18="","",'Seznam zápasů'!J18)</f>
        <v>Nadcházející</v>
      </c>
      <c r="AB3" s="41">
        <f>IF('Seznam zápasů'!A29="","",'Seznam zápasů'!A29)</f>
        <v>46285</v>
      </c>
      <c r="AC3" s="38" t="str">
        <f>IF('Seznam zápasů'!B29="","",'Seznam zápasů'!B29)</f>
        <v>Ne</v>
      </c>
      <c r="AD3" s="38" t="str">
        <f>IF('Seznam zápasů'!D29="","",'Seznam zápasů'!D29)</f>
        <v>SBLŽ</v>
      </c>
      <c r="AE3" s="38" t="str">
        <f>IF('Seznam zápasů'!E29="","",'Seznam zápasů'!E29)</f>
        <v>BK Příbram 2000</v>
      </c>
      <c r="AF3" s="44" t="str">
        <f>IF('Seznam zápasů'!F29="","",'Seznam zápasů'!F29)</f>
        <v>007</v>
      </c>
      <c r="AG3" s="38" t="str">
        <f>IF('Seznam zápasů'!G29="","",'Seznam zápasů'!G29)</f>
        <v/>
      </c>
      <c r="AH3" s="38" t="str">
        <f>IF('Seznam zápasů'!H29="","",'Seznam zápasů'!H29)</f>
        <v/>
      </c>
      <c r="AI3" s="38" t="str">
        <f>IF('Seznam zápasů'!I29="","",'Seznam zápasů'!I29)</f>
        <v/>
      </c>
      <c r="AJ3" s="38" t="str">
        <f ca="1">IF('Seznam zápasů'!J29="","",'Seznam zápasů'!J29)</f>
        <v>Nadcházející</v>
      </c>
      <c r="AK3" s="41">
        <f>IF('Seznam zápasů'!A19="","",'Seznam zápasů'!A19)</f>
        <v>46284</v>
      </c>
      <c r="AL3" s="38" t="str">
        <f>IF('Seznam zápasů'!B19="","",'Seznam zápasů'!B19)</f>
        <v>So</v>
      </c>
      <c r="AM3" s="38" t="str">
        <f>IF('Seznam zápasů'!D19="","",'Seznam zápasů'!D19)</f>
        <v>SBLŽ</v>
      </c>
      <c r="AN3" s="38" t="str">
        <f>IF('Seznam zápasů'!E19="","",'Seznam zápasů'!E19)</f>
        <v>BK Příbram 2000</v>
      </c>
      <c r="AO3" s="44" t="str">
        <f>IF('Seznam zápasů'!F19="","",'Seznam zápasů'!F19)</f>
        <v>004</v>
      </c>
      <c r="AP3" s="38" t="str">
        <f>IF('Seznam zápasů'!G19="","",'Seznam zápasů'!G19)</f>
        <v/>
      </c>
      <c r="AQ3" s="38" t="str">
        <f>IF('Seznam zápasů'!H19="","",'Seznam zápasů'!H19)</f>
        <v/>
      </c>
      <c r="AR3" s="38" t="str">
        <f>IF('Seznam zápasů'!I19="","",'Seznam zápasů'!I19)</f>
        <v/>
      </c>
      <c r="AS3" s="38" t="str">
        <f ca="1">IF('Seznam zápasů'!J19="","",'Seznam zápasů'!J19)</f>
        <v>Nadcházející</v>
      </c>
      <c r="AT3" s="41">
        <f>IF('Seznam zápasů'!A30="","",'Seznam zápasů'!A30)</f>
        <v>46291</v>
      </c>
      <c r="AU3" s="38" t="str">
        <f>IF('Seznam zápasů'!B30="","",'Seznam zápasů'!B30)</f>
        <v>So</v>
      </c>
      <c r="AV3" s="38" t="str">
        <f>IF('Seznam zápasů'!D30="","",'Seznam zápasů'!D30)</f>
        <v>NRL</v>
      </c>
      <c r="AW3" s="38" t="str">
        <f>IF('Seznam zápasů'!E30="","",'Seznam zápasů'!E30)</f>
        <v>BK Medvědi Tábor</v>
      </c>
      <c r="AX3" s="44" t="str">
        <f>IF('Seznam zápasů'!F30="","",'Seznam zápasů'!F30)</f>
        <v>19226</v>
      </c>
      <c r="AY3" s="38" t="str">
        <f>IF('Seznam zápasů'!G30="","",'Seznam zápasů'!G30)</f>
        <v/>
      </c>
      <c r="AZ3" s="38" t="str">
        <f>IF('Seznam zápasů'!H30="","",'Seznam zápasů'!H30)</f>
        <v/>
      </c>
      <c r="BA3" s="38" t="str">
        <f>IF('Seznam zápasů'!I30="","",'Seznam zápasů'!I30)</f>
        <v/>
      </c>
      <c r="BB3" s="38" t="str">
        <f ca="1">IF('Seznam zápasů'!J30="","",'Seznam zápasů'!J30)</f>
        <v>Nadcházející</v>
      </c>
      <c r="BC3" s="41">
        <f>IF('Seznam zápasů'!A10="","",'Seznam zápasů'!A10)</f>
        <v>46284</v>
      </c>
      <c r="BD3" s="38" t="str">
        <f>IF('Seznam zápasů'!B10="","",'Seznam zápasů'!B10)</f>
        <v>So</v>
      </c>
      <c r="BE3" s="38" t="str">
        <f>IF('Seznam zápasů'!D10="","",'Seznam zápasů'!D10)</f>
        <v>nadreg. liga</v>
      </c>
      <c r="BF3" s="38" t="str">
        <f>IF('Seznam zápasů'!E10="","",'Seznam zápasů'!E10)</f>
        <v>BC Kolín A</v>
      </c>
      <c r="BG3" s="44" t="str">
        <f>IF('Seznam zápasů'!F10="","",'Seznam zápasů'!F10)</f>
        <v>17116</v>
      </c>
      <c r="BH3" s="38" t="str">
        <f>IF('Seznam zápasů'!G10="","",'Seznam zápasů'!G10)</f>
        <v/>
      </c>
      <c r="BI3" s="38" t="str">
        <f>IF('Seznam zápasů'!H10="","",'Seznam zápasů'!H10)</f>
        <v/>
      </c>
      <c r="BJ3" s="38" t="str">
        <f>IF('Seznam zápasů'!I10="","",'Seznam zápasů'!I10)</f>
        <v/>
      </c>
      <c r="BK3" s="38" t="str">
        <f ca="1">IF('Seznam zápasů'!J10="","",'Seznam zápasů'!J10)</f>
        <v>Nadcházející</v>
      </c>
      <c r="BL3" s="41">
        <f>IF('Seznam zápasů'!A11="","",'Seznam zápasů'!A11)</f>
        <v>46284</v>
      </c>
      <c r="BM3" s="38" t="str">
        <f>IF('Seznam zápasů'!B11="","",'Seznam zápasů'!B11)</f>
        <v>So</v>
      </c>
      <c r="BN3" s="38" t="str">
        <f>IF('Seznam zápasů'!D11="","",'Seznam zápasů'!D11)</f>
        <v>celostátní liga</v>
      </c>
      <c r="BO3" s="38" t="str">
        <f>IF('Seznam zápasů'!E11="","",'Seznam zápasů'!E11)</f>
        <v>Sojky Pelhřimov</v>
      </c>
      <c r="BP3" s="44" t="str">
        <f>IF('Seznam zápasů'!F11="","",'Seznam zápasů'!F11)</f>
        <v>064</v>
      </c>
      <c r="BQ3" s="38" t="str">
        <f>IF('Seznam zápasů'!G11="","",'Seznam zápasů'!G11)</f>
        <v/>
      </c>
      <c r="BR3" s="38" t="str">
        <f>IF('Seznam zápasů'!H11="","",'Seznam zápasů'!H11)</f>
        <v/>
      </c>
      <c r="BS3" s="38" t="str">
        <f>IF('Seznam zápasů'!I11="","",'Seznam zápasů'!I11)</f>
        <v/>
      </c>
      <c r="BT3" s="38" t="str">
        <f ca="1">IF('Seznam zápasů'!J11="","",'Seznam zápasů'!J11)</f>
        <v>Nadcházející</v>
      </c>
      <c r="BU3" s="41">
        <f>IF('Seznam zápasů'!A12="","",'Seznam zápasů'!A12)</f>
        <v>46284</v>
      </c>
      <c r="BV3" s="38" t="str">
        <f>IF('Seznam zápasů'!B12="","",'Seznam zápasů'!B12)</f>
        <v>So</v>
      </c>
      <c r="BW3" s="38" t="str">
        <f>IF('Seznam zápasů'!D12="","",'Seznam zápasů'!D12)</f>
        <v>nadreg. liga</v>
      </c>
      <c r="BX3" s="38" t="str">
        <f>IF('Seznam zápasů'!E12="","",'Seznam zápasů'!E12)</f>
        <v>BK Klatovy</v>
      </c>
      <c r="BY3" s="44" t="str">
        <f>IF('Seznam zápasů'!F12="","",'Seznam zápasů'!F12)</f>
        <v>17534</v>
      </c>
      <c r="BZ3" s="38" t="str">
        <f>IF('Seznam zápasů'!G12="","",'Seznam zápasů'!G12)</f>
        <v/>
      </c>
      <c r="CA3" s="38" t="str">
        <f>IF('Seznam zápasů'!H12="","",'Seznam zápasů'!H12)</f>
        <v/>
      </c>
      <c r="CB3" s="38" t="str">
        <f>IF('Seznam zápasů'!I12="","",'Seznam zápasů'!I12)</f>
        <v/>
      </c>
      <c r="CC3" s="38" t="str">
        <f ca="1">IF('Seznam zápasů'!J12="","",'Seznam zápasů'!J12)</f>
        <v>Nadcházející</v>
      </c>
      <c r="CD3" s="41">
        <f>IF('Seznam zápasů'!A36="","",'Seznam zápasů'!A36)</f>
        <v>46291</v>
      </c>
      <c r="CE3" s="38" t="str">
        <f>IF('Seznam zápasů'!B36="","",'Seznam zápasů'!B36)</f>
        <v>So</v>
      </c>
      <c r="CF3" s="38" t="str">
        <f>IF('Seznam zápasů'!D36="","",'Seznam zápasů'!D36)</f>
        <v>žákovská liga</v>
      </c>
      <c r="CG3" s="38" t="str">
        <f>IF('Seznam zápasů'!E36="","",'Seznam zápasů'!E36)</f>
        <v>Tigers České Budějovice</v>
      </c>
      <c r="CH3" s="44" t="str">
        <f>IF('Seznam zápasů'!F36="","",'Seznam zápasů'!F36)</f>
        <v>007</v>
      </c>
      <c r="CI3" s="38" t="str">
        <f>IF('Seznam zápasů'!G36="","",'Seznam zápasů'!G36)</f>
        <v/>
      </c>
      <c r="CJ3" s="38" t="str">
        <f>IF('Seznam zápasů'!H36="","",'Seznam zápasů'!H36)</f>
        <v/>
      </c>
      <c r="CK3" s="38" t="str">
        <f>IF('Seznam zápasů'!I36="","",'Seznam zápasů'!I36)</f>
        <v/>
      </c>
      <c r="CL3" s="38" t="str">
        <f ca="1">IF('Seznam zápasů'!J36="","",'Seznam zápasů'!J36)</f>
        <v>Nadcházející</v>
      </c>
      <c r="CM3" s="41">
        <f>IF('Seznam zápasů'!A37="","",'Seznam zápasů'!A37)</f>
        <v>46291</v>
      </c>
      <c r="CN3" s="38" t="str">
        <f>IF('Seznam zápasů'!B37="","",'Seznam zápasů'!B37)</f>
        <v>So</v>
      </c>
      <c r="CO3" s="38" t="str">
        <f>IF('Seznam zápasů'!D37="","",'Seznam zápasů'!D37)</f>
        <v>žákovská liga</v>
      </c>
      <c r="CP3" s="38" t="str">
        <f>IF('Seznam zápasů'!E37="","",'Seznam zápasů'!E37)</f>
        <v>USK Praha</v>
      </c>
      <c r="CQ3" s="44" t="str">
        <f>IF('Seznam zápasů'!F37="","",'Seznam zápasů'!F37)</f>
        <v>006</v>
      </c>
      <c r="CR3" s="38" t="str">
        <f>IF('Seznam zápasů'!G37="","",'Seznam zápasů'!G37)</f>
        <v/>
      </c>
      <c r="CS3" s="38" t="str">
        <f>IF('Seznam zápasů'!H37="","",'Seznam zápasů'!H37)</f>
        <v/>
      </c>
      <c r="CT3" s="38" t="str">
        <f>IF('Seznam zápasů'!I37="","",'Seznam zápasů'!I37)</f>
        <v/>
      </c>
      <c r="CU3" s="38" t="str">
        <f ca="1">IF('Seznam zápasů'!J37="","",'Seznam zápasů'!J37)</f>
        <v>Nadcházející</v>
      </c>
      <c r="CV3" s="41">
        <f>IF('Seznam zápasů'!A38="","",'Seznam zápasů'!A38)</f>
        <v>46291</v>
      </c>
      <c r="CW3" s="38" t="str">
        <f>IF('Seznam zápasů'!B38="","",'Seznam zápasů'!B38)</f>
        <v>So</v>
      </c>
      <c r="CX3" s="38" t="str">
        <f>IF('Seznam zápasů'!D38="","",'Seznam zápasů'!D38)</f>
        <v>nadreg. Liga</v>
      </c>
      <c r="CY3" s="38" t="str">
        <f>IF('Seznam zápasů'!E38="","",'Seznam zápasů'!E38)</f>
        <v>Bižu Jablonecko B</v>
      </c>
      <c r="CZ3" s="44" t="str">
        <f>IF('Seznam zápasů'!F38="","",'Seznam zápasů'!F38)</f>
        <v>032</v>
      </c>
      <c r="DA3" s="38" t="str">
        <f>IF('Seznam zápasů'!G38="","",'Seznam zápasů'!G38)</f>
        <v/>
      </c>
      <c r="DB3" s="38" t="str">
        <f>IF('Seznam zápasů'!H38="","",'Seznam zápasů'!H38)</f>
        <v/>
      </c>
      <c r="DC3" s="38" t="str">
        <f>IF('Seznam zápasů'!I38="","",'Seznam zápasů'!I38)</f>
        <v/>
      </c>
      <c r="DD3" s="38" t="str">
        <f ca="1">IF('Seznam zápasů'!J38="","",'Seznam zápasů'!J38)</f>
        <v>Nadcházející</v>
      </c>
      <c r="DE3" s="41">
        <f>IF('Seznam zápasů'!A9="","",'Seznam zápasů'!A9)</f>
        <v>46278</v>
      </c>
      <c r="DF3" s="38" t="str">
        <f>IF('Seznam zápasů'!B9="","",'Seznam zápasů'!B9)</f>
        <v>Ne</v>
      </c>
      <c r="DG3" s="38" t="str">
        <f>IF('Seznam zápasů'!D9="","",'Seznam zápasů'!D9)</f>
        <v>žákovská liga</v>
      </c>
      <c r="DH3" s="38" t="str">
        <f>IF('Seznam zápasů'!E9="","",'Seznam zápasů'!E9)</f>
        <v>BK Kladno</v>
      </c>
      <c r="DI3" s="44" t="str">
        <f>IF('Seznam zápasů'!F9="","",'Seznam zápasů'!F9)</f>
        <v>091</v>
      </c>
      <c r="DJ3" s="38" t="str">
        <f>IF('Seznam zápasů'!G9="","",'Seznam zápasů'!G9)</f>
        <v/>
      </c>
      <c r="DK3" s="38" t="str">
        <f>IF('Seznam zápasů'!H9="","",'Seznam zápasů'!H9)</f>
        <v/>
      </c>
      <c r="DL3" s="38" t="str">
        <f>IF('Seznam zápasů'!I9="","",'Seznam zápasů'!I9)</f>
        <v/>
      </c>
      <c r="DM3" s="38" t="str">
        <f ca="1">IF('Seznam zápasů'!J9="","",'Seznam zápasů'!J9)</f>
        <v>Nadcházející</v>
      </c>
      <c r="DN3" s="41">
        <f>IF('Seznam zápasů'!A16="","",'Seznam zápasů'!A16)</f>
        <v>46284</v>
      </c>
      <c r="DO3" s="38" t="str">
        <f>IF('Seznam zápasů'!B16="","",'Seznam zápasů'!B16)</f>
        <v>So</v>
      </c>
      <c r="DP3" s="38" t="str">
        <f>IF('Seznam zápasů'!D16="","",'Seznam zápasů'!D16)</f>
        <v>žákovská liga</v>
      </c>
      <c r="DQ3" s="38" t="str">
        <f>IF('Seznam zápasů'!E16="","",'Seznam zápasů'!E16)</f>
        <v>Vlčice Žďár</v>
      </c>
      <c r="DR3" s="44" t="str">
        <f>IF('Seznam zápasů'!F16="","",'Seznam zápasů'!F16)</f>
        <v>122</v>
      </c>
      <c r="DS3" s="38" t="str">
        <f>IF('Seznam zápasů'!G16="","",'Seznam zápasů'!G16)</f>
        <v/>
      </c>
      <c r="DT3" s="38" t="str">
        <f>IF('Seznam zápasů'!H16="","",'Seznam zápasů'!H16)</f>
        <v/>
      </c>
      <c r="DU3" s="38" t="str">
        <f>IF('Seznam zápasů'!I16="","",'Seznam zápasů'!I16)</f>
        <v/>
      </c>
      <c r="DV3" s="38" t="str">
        <f ca="1">IF('Seznam zápasů'!J16="","",'Seznam zápasů'!J16)</f>
        <v>Nadcházející</v>
      </c>
      <c r="DW3" s="41">
        <f>IF('Seznam zápasů'!A17="","",'Seznam zápasů'!A17)</f>
        <v>46284</v>
      </c>
      <c r="DX3" s="38" t="str">
        <f>IF('Seznam zápasů'!B17="","",'Seznam zápasů'!B17)</f>
        <v>So</v>
      </c>
      <c r="DY3" s="38" t="str">
        <f>IF('Seznam zápasů'!D17="","",'Seznam zápasů'!D17)</f>
        <v>nadreg. liga</v>
      </c>
      <c r="DZ3" s="38" t="str">
        <f>IF('Seznam zápasů'!E17="","",'Seznam zápasů'!E17)</f>
        <v>Basket Říčany</v>
      </c>
      <c r="EA3" s="44" t="str">
        <f>IF('Seznam zápasů'!F17="","",'Seznam zápasů'!F17)</f>
        <v>002</v>
      </c>
      <c r="EB3" s="38" t="str">
        <f>IF('Seznam zápasů'!G17="","",'Seznam zápasů'!G17)</f>
        <v/>
      </c>
      <c r="EC3" s="38" t="str">
        <f>IF('Seznam zápasů'!H17="","",'Seznam zápasů'!H17)</f>
        <v/>
      </c>
      <c r="ED3" s="38" t="str">
        <f>IF('Seznam zápasů'!I17="","",'Seznam zápasů'!I17)</f>
        <v/>
      </c>
      <c r="EE3" s="38" t="str">
        <f ca="1">IF('Seznam zápasů'!J17="","",'Seznam zápasů'!J17)</f>
        <v>Nadcházející</v>
      </c>
      <c r="EF3" s="41">
        <f>IF('Seznam zápasů'!A7="","",'Seznam zápasů'!A7)</f>
        <v>46277</v>
      </c>
      <c r="EG3" s="38" t="str">
        <f>IF('Seznam zápasů'!B7="","",'Seznam zápasů'!B7)</f>
        <v>So</v>
      </c>
      <c r="EH3" s="38" t="str">
        <f>IF('Seznam zápasů'!D7="","",'Seznam zápasů'!D7)</f>
        <v>KP + kval. o NF</v>
      </c>
      <c r="EI3" s="38" t="str">
        <f>IF('Seznam zápasů'!E7="","",'Seznam zápasů'!E7)</f>
        <v>BN-Pardubice-Nymburk</v>
      </c>
      <c r="EJ3" s="44" t="str">
        <f>IF('Seznam zápasů'!F7="","",'Seznam zápasů'!F7)</f>
        <v/>
      </c>
      <c r="EK3" s="38" t="str">
        <f>IF('Seznam zápasů'!G7="","",'Seznam zápasů'!G7)</f>
        <v/>
      </c>
      <c r="EL3" s="38" t="str">
        <f>IF('Seznam zápasů'!H7="","",'Seznam zápasů'!H7)</f>
        <v/>
      </c>
      <c r="EM3" s="38" t="str">
        <f>IF('Seznam zápasů'!I7="","",'Seznam zápasů'!I7)</f>
        <v/>
      </c>
      <c r="EN3" s="38" t="str">
        <f ca="1">IF('Seznam zápasů'!J7="","",'Seznam zápasů'!J7)</f>
        <v>Nadcházející</v>
      </c>
      <c r="EO3" s="41">
        <f>IF('Seznam zápasů'!A13="","",'Seznam zápasů'!A13)</f>
        <v>46284</v>
      </c>
      <c r="EP3" s="38" t="str">
        <f>IF('Seznam zápasů'!B13="","",'Seznam zápasů'!B13)</f>
        <v>So</v>
      </c>
      <c r="EQ3" s="38" t="str">
        <f>IF('Seznam zápasů'!D13="","",'Seznam zápasů'!D13)</f>
        <v>KP + kval. o NF</v>
      </c>
      <c r="ER3" s="38" t="str">
        <f>IF('Seznam zápasů'!E13="","",'Seznam zápasů'!E13)</f>
        <v>BA Nymburk</v>
      </c>
      <c r="ES3" s="44" t="str">
        <f>IF('Seznam zápasů'!F13="","",'Seznam zápasů'!F13)</f>
        <v>2x 004,040</v>
      </c>
      <c r="ET3" s="38" t="str">
        <f>IF('Seznam zápasů'!G13="","",'Seznam zápasů'!G13)</f>
        <v/>
      </c>
      <c r="EU3" s="38" t="str">
        <f>IF('Seznam zápasů'!H13="","",'Seznam zápasů'!H13)</f>
        <v/>
      </c>
      <c r="EV3" s="38" t="str">
        <f>IF('Seznam zápasů'!I13="","",'Seznam zápasů'!I13)</f>
        <v/>
      </c>
      <c r="EW3" s="38" t="str">
        <f ca="1">IF('Seznam zápasů'!J13="","",'Seznam zápasů'!J13)</f>
        <v>Nadcházející</v>
      </c>
      <c r="EX3" s="41">
        <f>IF('Seznam zápasů'!A6="","",'Seznam zápasů'!A6)</f>
        <v>46277</v>
      </c>
      <c r="EY3" s="38" t="str">
        <f>IF('Seznam zápasů'!B6="","",'Seznam zápasů'!B6)</f>
        <v>So</v>
      </c>
      <c r="EZ3" s="38" t="str">
        <f>IF('Seznam zápasů'!D6="","",'Seznam zápasů'!D6)</f>
        <v>KP + kval. o NF</v>
      </c>
      <c r="FA3" s="38" t="str">
        <f>IF('Seznam zápasů'!E6="","",'Seznam zápasů'!E6)</f>
        <v>Slavoj Český Brod</v>
      </c>
      <c r="FB3" s="44" t="str">
        <f>IF('Seznam zápasů'!F6="","",'Seznam zápasů'!F6)</f>
        <v>2x 004, 049</v>
      </c>
      <c r="FC3" s="38" t="str">
        <f>IF('Seznam zápasů'!G6="","",'Seznam zápasů'!G6)</f>
        <v/>
      </c>
      <c r="FD3" s="38" t="str">
        <f>IF('Seznam zápasů'!H6="","",'Seznam zápasů'!H6)</f>
        <v/>
      </c>
      <c r="FE3" s="38" t="str">
        <f>IF('Seznam zápasů'!I6="","",'Seznam zápasů'!I6)</f>
        <v/>
      </c>
      <c r="FF3" s="38" t="str">
        <f ca="1">IF('Seznam zápasů'!J6="","",'Seznam zápasů'!J6)</f>
        <v>Nadcházející</v>
      </c>
      <c r="FG3" s="41">
        <f>IF('Seznam zápasů'!A48="","",'Seznam zápasů'!A48)</f>
        <v>46298</v>
      </c>
      <c r="FH3" s="38" t="str">
        <f>IF('Seznam zápasů'!B48="","",'Seznam zápasů'!B48)</f>
        <v>So</v>
      </c>
      <c r="FI3" s="38" t="str">
        <f>IF('Seznam zápasů'!D48="","",'Seznam zápasů'!D48)</f>
        <v>KP</v>
      </c>
      <c r="FJ3" s="38" t="str">
        <f>IF('Seznam zápasů'!E48="","",'Seznam zápasů'!E48)</f>
        <v>BC Benešov Ž</v>
      </c>
      <c r="FK3" s="44" t="str">
        <f>IF('Seznam zápasů'!F48="","",'Seznam zápasů'!F48)</f>
        <v>2x 001,021</v>
      </c>
      <c r="FL3" s="38" t="str">
        <f>IF('Seznam zápasů'!G48="","",'Seznam zápasů'!G48)</f>
        <v/>
      </c>
      <c r="FM3" s="38" t="str">
        <f>IF('Seznam zápasů'!H48="","",'Seznam zápasů'!H48)</f>
        <v/>
      </c>
      <c r="FN3" s="38" t="str">
        <f>IF('Seznam zápasů'!I48="","",'Seznam zápasů'!I48)</f>
        <v/>
      </c>
      <c r="FO3" s="38" t="str">
        <f ca="1">IF('Seznam zápasů'!J48="","",'Seznam zápasů'!J48)</f>
        <v>Nadcházející</v>
      </c>
      <c r="FP3" s="41">
        <f>IF('Seznam zápasů'!A5="","",'Seznam zápasů'!A5)</f>
        <v>46275</v>
      </c>
      <c r="FQ3" s="38" t="str">
        <f>IF('Seznam zápasů'!B5="","",'Seznam zápasů'!B5)</f>
        <v>Čt</v>
      </c>
      <c r="FR3" s="38" t="str">
        <f>IF('Seznam zápasů'!D5="","",'Seznam zápasů'!D5)</f>
        <v>KP + kval. o NF</v>
      </c>
      <c r="FS3" s="38" t="str">
        <f>IF('Seznam zápasů'!E5="","",'Seznam zápasů'!E5)</f>
        <v>Sokol Nusle</v>
      </c>
      <c r="FT3" s="44" t="str">
        <f>IF('Seznam zápasů'!F5="","",'Seznam zápasů'!F5)</f>
        <v>006</v>
      </c>
      <c r="FU3" s="38" t="str">
        <f>IF('Seznam zápasů'!G5="","",'Seznam zápasů'!G5)</f>
        <v/>
      </c>
      <c r="FV3" s="38" t="str">
        <f>IF('Seznam zápasů'!H5="","",'Seznam zápasů'!H5)</f>
        <v/>
      </c>
      <c r="FW3" s="38" t="str">
        <f>IF('Seznam zápasů'!I5="","",'Seznam zápasů'!I5)</f>
        <v/>
      </c>
      <c r="FX3" s="38" t="str">
        <f ca="1">IF('Seznam zápasů'!J5="","",'Seznam zápasů'!J5)</f>
        <v>Nadcházející</v>
      </c>
      <c r="FY3" s="41">
        <f>IF('Seznam zápasů'!A23="","",'Seznam zápasů'!A23)</f>
        <v>46285</v>
      </c>
      <c r="FZ3" s="38" t="str">
        <f>IF('Seznam zápasů'!B23="","",'Seznam zápasů'!B23)</f>
        <v>Ne</v>
      </c>
      <c r="GA3" s="38" t="str">
        <f>IF('Seznam zápasů'!D23="","",'Seznam zápasů'!D23)</f>
        <v>KP + kval. o NF</v>
      </c>
      <c r="GB3" s="38" t="str">
        <f>IF('Seznam zápasů'!E23="","",'Seznam zápasů'!E23)</f>
        <v>ŠBK Sadská</v>
      </c>
      <c r="GC3" s="44" t="str">
        <f>IF('Seznam zápasů'!F23="","",'Seznam zápasů'!F23)</f>
        <v>2x 004,032</v>
      </c>
      <c r="GD3" s="38" t="str">
        <f>IF('Seznam zápasů'!G23="","",'Seznam zápasů'!G23)</f>
        <v/>
      </c>
      <c r="GE3" s="38" t="str">
        <f>IF('Seznam zápasů'!H23="","",'Seznam zápasů'!H23)</f>
        <v/>
      </c>
      <c r="GF3" s="38" t="str">
        <f>IF('Seznam zápasů'!I23="","",'Seznam zápasů'!I23)</f>
        <v/>
      </c>
      <c r="GG3" s="38" t="str">
        <f ca="1">IF('Seznam zápasů'!J23="","",'Seznam zápasů'!J23)</f>
        <v>Nadcházející</v>
      </c>
      <c r="GH3" s="41">
        <f>IF('Seznam zápasů'!A33="","",'Seznam zápasů'!A33)</f>
        <v>46291</v>
      </c>
      <c r="GI3" s="38" t="str">
        <f>IF('Seznam zápasů'!B33="","",'Seznam zápasů'!B33)</f>
        <v>So</v>
      </c>
      <c r="GJ3" s="38" t="str">
        <f>IF('Seznam zápasů'!D33="","",'Seznam zápasů'!D33)</f>
        <v>KP + kval. o NF</v>
      </c>
      <c r="GK3" s="38" t="str">
        <f>IF('Seznam zápasů'!E33="","",'Seznam zápasů'!E33)</f>
        <v>Basket Poděbrady</v>
      </c>
      <c r="GL3" s="44" t="str">
        <f>IF('Seznam zápasů'!F33="","",'Seznam zápasů'!F33)</f>
        <v>2x 003, 024</v>
      </c>
      <c r="GM3" s="38" t="str">
        <f>IF('Seznam zápasů'!G33="","",'Seznam zápasů'!G33)</f>
        <v/>
      </c>
      <c r="GN3" s="38" t="str">
        <f>IF('Seznam zápasů'!H33="","",'Seznam zápasů'!H33)</f>
        <v/>
      </c>
      <c r="GO3" s="38" t="str">
        <f>IF('Seznam zápasů'!I33="","",'Seznam zápasů'!I33)</f>
        <v/>
      </c>
      <c r="GP3" s="38" t="str">
        <f ca="1">IF('Seznam zápasů'!J33="","",'Seznam zápasů'!J33)</f>
        <v>Nadcházející</v>
      </c>
      <c r="GQ3" s="41">
        <f>IF('Seznam zápasů'!A50="","",'Seznam zápasů'!A50)</f>
        <v>46298</v>
      </c>
      <c r="GR3" s="38" t="str">
        <f>IF('Seznam zápasů'!B50="","",'Seznam zápasů'!B50)</f>
        <v>So</v>
      </c>
      <c r="GS3" s="38" t="str">
        <f>IF('Seznam zápasů'!D50="","",'Seznam zápasů'!D50)</f>
        <v>KP</v>
      </c>
      <c r="GT3" s="38" t="str">
        <f>IF('Seznam zápasů'!E50="","",'Seznam zápasů'!E50)</f>
        <v>BC Benešov M</v>
      </c>
      <c r="GU3" s="44" t="str">
        <f>IF('Seznam zápasů'!F50="","",'Seznam zápasů'!F50)</f>
        <v>2x 01,021</v>
      </c>
      <c r="GV3" s="38" t="str">
        <f>IF('Seznam zápasů'!G50="","",'Seznam zápasů'!G50)</f>
        <v/>
      </c>
      <c r="GW3" s="38" t="str">
        <f>IF('Seznam zápasů'!H50="","",'Seznam zápasů'!H50)</f>
        <v/>
      </c>
      <c r="GX3" s="38" t="str">
        <f>IF('Seznam zápasů'!I50="","",'Seznam zápasů'!I50)</f>
        <v/>
      </c>
      <c r="GY3" s="38" t="str">
        <f ca="1">IF('Seznam zápasů'!J50="","",'Seznam zápasů'!J50)</f>
        <v>Nadcházející</v>
      </c>
      <c r="GZ3" s="48"/>
      <c r="HA3" s="47"/>
      <c r="HB3" s="47"/>
      <c r="HC3" s="47"/>
      <c r="HD3" s="49"/>
      <c r="HE3" s="47"/>
      <c r="HF3" s="47"/>
      <c r="HG3" s="47"/>
      <c r="HH3" s="47"/>
    </row>
    <row r="4" spans="1:216" x14ac:dyDescent="0.2">
      <c r="A4" s="42">
        <f>IF('Seznam zápasů'!A25="","",'Seznam zápasů'!A25)</f>
        <v>46285</v>
      </c>
      <c r="B4" s="39" t="str">
        <f>IF('Seznam zápasů'!B25="","",'Seznam zápasů'!B25)</f>
        <v>Ne</v>
      </c>
      <c r="C4" s="39" t="str">
        <f>IF('Seznam zápasů'!D25="","",'Seznam zápasů'!D25)</f>
        <v>SBLM</v>
      </c>
      <c r="D4" s="39" t="str">
        <f>IF('Seznam zápasů'!E25="","",'Seznam zápasů'!E25)</f>
        <v>BC Kolín</v>
      </c>
      <c r="E4" s="45" t="str">
        <f>IF('Seznam zápasů'!F25="","",'Seznam zápasů'!F25)</f>
        <v>009</v>
      </c>
      <c r="F4" s="39" t="str">
        <f>IF('Seznam zápasů'!G25="","",'Seznam zápasů'!G25)</f>
        <v/>
      </c>
      <c r="G4" s="39" t="str">
        <f>IF('Seznam zápasů'!H25="","",'Seznam zápasů'!H25)</f>
        <v/>
      </c>
      <c r="H4" s="39" t="str">
        <f>IF('Seznam zápasů'!I25="","",'Seznam zápasů'!I25)</f>
        <v/>
      </c>
      <c r="I4" s="39" t="str">
        <f ca="1">IF('Seznam zápasů'!J25="","",'Seznam zápasů'!J25)</f>
        <v>Nadcházející</v>
      </c>
      <c r="J4" s="42">
        <f>IF('Seznam zápasů'!A72="","",'Seznam zápasů'!A72)</f>
        <v>46305</v>
      </c>
      <c r="K4" s="39" t="str">
        <f>IF('Seznam zápasů'!B72="","",'Seznam zápasů'!B72)</f>
        <v>So</v>
      </c>
      <c r="L4" s="39" t="str">
        <f>IF('Seznam zápasů'!D72="","",'Seznam zápasů'!D72)</f>
        <v>KP</v>
      </c>
      <c r="M4" s="39" t="str">
        <f>IF('Seznam zápasů'!E72="","",'Seznam zápasů'!E72)</f>
        <v>AŠ Mladá Boleslav "B"</v>
      </c>
      <c r="N4" s="45" t="str">
        <f>IF('Seznam zápasů'!F72="","",'Seznam zápasů'!F72)</f>
        <v>010</v>
      </c>
      <c r="O4" s="39" t="str">
        <f>IF('Seznam zápasů'!G72="","",'Seznam zápasů'!G72)</f>
        <v/>
      </c>
      <c r="P4" s="39" t="str">
        <f>IF('Seznam zápasů'!H72="","",'Seznam zápasů'!H72)</f>
        <v/>
      </c>
      <c r="Q4" s="39" t="str">
        <f>IF('Seznam zápasů'!I72="","",'Seznam zápasů'!I72)</f>
        <v/>
      </c>
      <c r="R4" s="39" t="str">
        <f ca="1">IF('Seznam zápasů'!J72="","",'Seznam zápasů'!J72)</f>
        <v>Nadcházející</v>
      </c>
      <c r="S4" s="42">
        <f>IF('Seznam zápasů'!A28="","",'Seznam zápasů'!A28)</f>
        <v>46285</v>
      </c>
      <c r="T4" s="39" t="str">
        <f>IF('Seznam zápasů'!B28="","",'Seznam zápasů'!B28)</f>
        <v>Ne</v>
      </c>
      <c r="U4" s="39" t="str">
        <f>IF('Seznam zápasů'!D28="","",'Seznam zápasů'!D28)</f>
        <v>II. Liga</v>
      </c>
      <c r="V4" s="39" t="str">
        <f>IF('Seznam zápasů'!E28="","",'Seznam zápasů'!E28)</f>
        <v>BA Roudnice</v>
      </c>
      <c r="W4" s="45" t="str">
        <f>IF('Seznam zápasů'!F28="","",'Seznam zápasů'!F28)</f>
        <v>009</v>
      </c>
      <c r="X4" s="39" t="str">
        <f>IF('Seznam zápasů'!G28="","",'Seznam zápasů'!G28)</f>
        <v/>
      </c>
      <c r="Y4" s="39" t="str">
        <f>IF('Seznam zápasů'!H28="","",'Seznam zápasů'!H28)</f>
        <v/>
      </c>
      <c r="Z4" s="39" t="str">
        <f>IF('Seznam zápasů'!I28="","",'Seznam zápasů'!I28)</f>
        <v/>
      </c>
      <c r="AA4" s="39" t="str">
        <f ca="1">IF('Seznam zápasů'!J28="","",'Seznam zápasů'!J28)</f>
        <v>Nadcházející</v>
      </c>
      <c r="AB4" s="42">
        <f>IF('Seznam zápasů'!A57="","",'Seznam zápasů'!A57)</f>
        <v>46298</v>
      </c>
      <c r="AC4" s="39" t="str">
        <f>IF('Seznam zápasů'!B57="","",'Seznam zápasů'!B57)</f>
        <v>So</v>
      </c>
      <c r="AD4" s="39" t="str">
        <f>IF('Seznam zápasů'!D57="","",'Seznam zápasů'!D57)</f>
        <v>SBLŽ</v>
      </c>
      <c r="AE4" s="39" t="str">
        <f>IF('Seznam zápasů'!E57="","",'Seznam zápasů'!E57)</f>
        <v>BC Kolín "B"</v>
      </c>
      <c r="AF4" s="45" t="str">
        <f>IF('Seznam zápasů'!F57="","",'Seznam zápasů'!F57)</f>
        <v>008</v>
      </c>
      <c r="AG4" s="39" t="str">
        <f>IF('Seznam zápasů'!G57="","",'Seznam zápasů'!G57)</f>
        <v/>
      </c>
      <c r="AH4" s="39" t="str">
        <f>IF('Seznam zápasů'!H57="","",'Seznam zápasů'!H57)</f>
        <v/>
      </c>
      <c r="AI4" s="39" t="str">
        <f>IF('Seznam zápasů'!I57="","",'Seznam zápasů'!I57)</f>
        <v/>
      </c>
      <c r="AJ4" s="39" t="str">
        <f ca="1">IF('Seznam zápasů'!J57="","",'Seznam zápasů'!J57)</f>
        <v>Nadcházející</v>
      </c>
      <c r="AK4" s="42">
        <f>IF('Seznam zápasů'!A58="","",'Seznam zápasů'!A58)</f>
        <v>46298</v>
      </c>
      <c r="AL4" s="39" t="str">
        <f>IF('Seznam zápasů'!B58="","",'Seznam zápasů'!B58)</f>
        <v>So</v>
      </c>
      <c r="AM4" s="39" t="str">
        <f>IF('Seznam zápasů'!D58="","",'Seznam zápasů'!D58)</f>
        <v>SBLŽ</v>
      </c>
      <c r="AN4" s="39" t="str">
        <f>IF('Seznam zápasů'!E58="","",'Seznam zápasů'!E58)</f>
        <v>BK Sojky Pelhřimov</v>
      </c>
      <c r="AO4" s="45" t="str">
        <f>IF('Seznam zápasů'!F58="","",'Seznam zápasů'!F58)</f>
        <v>009</v>
      </c>
      <c r="AP4" s="39" t="str">
        <f>IF('Seznam zápasů'!G58="","",'Seznam zápasů'!G58)</f>
        <v/>
      </c>
      <c r="AQ4" s="39" t="str">
        <f>IF('Seznam zápasů'!H58="","",'Seznam zápasů'!H58)</f>
        <v/>
      </c>
      <c r="AR4" s="39" t="str">
        <f>IF('Seznam zápasů'!I58="","",'Seznam zápasů'!I58)</f>
        <v/>
      </c>
      <c r="AS4" s="39" t="str">
        <f ca="1">IF('Seznam zápasů'!J58="","",'Seznam zápasů'!J58)</f>
        <v>Nadcházející</v>
      </c>
      <c r="AT4" s="42">
        <f>IF('Seznam zápasů'!A39="","",'Seznam zápasů'!A39)</f>
        <v>46292</v>
      </c>
      <c r="AU4" s="39" t="str">
        <f>IF('Seznam zápasů'!B39="","",'Seznam zápasů'!B39)</f>
        <v>Ne</v>
      </c>
      <c r="AV4" s="39" t="str">
        <f>IF('Seznam zápasů'!D39="","",'Seznam zápasů'!D39)</f>
        <v>NRL</v>
      </c>
      <c r="AW4" s="39" t="str">
        <f>IF('Seznam zápasů'!E39="","",'Seznam zápasů'!E39)</f>
        <v>BK Medvědi Tábor</v>
      </c>
      <c r="AX4" s="45" t="str">
        <f>IF('Seznam zápasů'!F39="","",'Seznam zápasů'!F39)</f>
        <v>19254</v>
      </c>
      <c r="AY4" s="39" t="str">
        <f>IF('Seznam zápasů'!G39="","",'Seznam zápasů'!G39)</f>
        <v/>
      </c>
      <c r="AZ4" s="39" t="str">
        <f>IF('Seznam zápasů'!H39="","",'Seznam zápasů'!H39)</f>
        <v/>
      </c>
      <c r="BA4" s="39" t="str">
        <f>IF('Seznam zápasů'!I39="","",'Seznam zápasů'!I39)</f>
        <v/>
      </c>
      <c r="BB4" s="39" t="str">
        <f ca="1">IF('Seznam zápasů'!J39="","",'Seznam zápasů'!J39)</f>
        <v>Nadcházející</v>
      </c>
      <c r="BC4" s="42">
        <f>IF('Seznam zápasů'!A20="","",'Seznam zápasů'!A20)</f>
        <v>46285</v>
      </c>
      <c r="BD4" s="39" t="str">
        <f>IF('Seznam zápasů'!B20="","",'Seznam zápasů'!B20)</f>
        <v>Ne</v>
      </c>
      <c r="BE4" s="39" t="str">
        <f>IF('Seznam zápasů'!D20="","",'Seznam zápasů'!D20)</f>
        <v>nadreg. liga</v>
      </c>
      <c r="BF4" s="39" t="str">
        <f>IF('Seznam zápasů'!E20="","",'Seznam zápasů'!E20)</f>
        <v>BC Kolín B</v>
      </c>
      <c r="BG4" s="45" t="str">
        <f>IF('Seznam zápasů'!F20="","",'Seznam zápasů'!F20)</f>
        <v>17123</v>
      </c>
      <c r="BH4" s="39" t="str">
        <f>IF('Seznam zápasů'!G20="","",'Seznam zápasů'!G20)</f>
        <v/>
      </c>
      <c r="BI4" s="39" t="str">
        <f>IF('Seznam zápasů'!H20="","",'Seznam zápasů'!H20)</f>
        <v/>
      </c>
      <c r="BJ4" s="39" t="str">
        <f>IF('Seznam zápasů'!I20="","",'Seznam zápasů'!I20)</f>
        <v/>
      </c>
      <c r="BK4" s="39" t="str">
        <f ca="1">IF('Seznam zápasů'!J20="","",'Seznam zápasů'!J20)</f>
        <v>Nadcházející</v>
      </c>
      <c r="BL4" s="42">
        <f>IF('Seznam zápasů'!A21="","",'Seznam zápasů'!A21)</f>
        <v>46285</v>
      </c>
      <c r="BM4" s="39" t="str">
        <f>IF('Seznam zápasů'!B21="","",'Seznam zápasů'!B21)</f>
        <v>Ne</v>
      </c>
      <c r="BN4" s="39" t="str">
        <f>IF('Seznam zápasů'!D21="","",'Seznam zápasů'!D21)</f>
        <v>celostátní liga</v>
      </c>
      <c r="BO4" s="39" t="str">
        <f>IF('Seznam zápasů'!E21="","",'Seznam zápasů'!E21)</f>
        <v>Vlčice Žďár</v>
      </c>
      <c r="BP4" s="45" t="str">
        <f>IF('Seznam zápasů'!F21="","",'Seznam zápasů'!F21)</f>
        <v>06</v>
      </c>
      <c r="BQ4" s="39" t="str">
        <f>IF('Seznam zápasů'!G21="","",'Seznam zápasů'!G21)</f>
        <v/>
      </c>
      <c r="BR4" s="39" t="str">
        <f>IF('Seznam zápasů'!H21="","",'Seznam zápasů'!H21)</f>
        <v/>
      </c>
      <c r="BS4" s="39" t="str">
        <f>IF('Seznam zápasů'!I21="","",'Seznam zápasů'!I21)</f>
        <v/>
      </c>
      <c r="BT4" s="39" t="str">
        <f ca="1">IF('Seznam zápasů'!J21="","",'Seznam zápasů'!J21)</f>
        <v>Nadcházející</v>
      </c>
      <c r="BU4" s="42">
        <f>IF('Seznam zápasů'!A22="","",'Seznam zápasů'!A22)</f>
        <v>46285</v>
      </c>
      <c r="BV4" s="39" t="str">
        <f>IF('Seznam zápasů'!B22="","",'Seznam zápasů'!B22)</f>
        <v>Ne</v>
      </c>
      <c r="BW4" s="39" t="str">
        <f>IF('Seznam zápasů'!D22="","",'Seznam zápasů'!D22)</f>
        <v>nadreg. liga</v>
      </c>
      <c r="BX4" s="39" t="str">
        <f>IF('Seznam zápasů'!E22="","",'Seznam zápasů'!E22)</f>
        <v>BK Strakonice B</v>
      </c>
      <c r="BY4" s="45" t="str">
        <f>IF('Seznam zápasů'!F22="","",'Seznam zápasů'!F22)</f>
        <v>17540</v>
      </c>
      <c r="BZ4" s="39" t="str">
        <f>IF('Seznam zápasů'!G22="","",'Seznam zápasů'!G22)</f>
        <v/>
      </c>
      <c r="CA4" s="39" t="str">
        <f>IF('Seznam zápasů'!H22="","",'Seznam zápasů'!H22)</f>
        <v/>
      </c>
      <c r="CB4" s="39" t="str">
        <f>IF('Seznam zápasů'!I22="","",'Seznam zápasů'!I22)</f>
        <v/>
      </c>
      <c r="CC4" s="39" t="str">
        <f ca="1">IF('Seznam zápasů'!J22="","",'Seznam zápasů'!J22)</f>
        <v>Nadcházející</v>
      </c>
      <c r="CD4" s="42">
        <f>IF('Seznam zápasů'!A42="","",'Seznam zápasů'!A42)</f>
        <v>46292</v>
      </c>
      <c r="CE4" s="39" t="str">
        <f>IF('Seznam zápasů'!B42="","",'Seznam zápasů'!B42)</f>
        <v>Ne</v>
      </c>
      <c r="CF4" s="39" t="str">
        <f>IF('Seznam zápasů'!D42="","",'Seznam zápasů'!D42)</f>
        <v>žákovská liga</v>
      </c>
      <c r="CG4" s="39" t="str">
        <f>IF('Seznam zápasů'!E42="","",'Seznam zápasů'!E42)</f>
        <v>BK Medvědi Tábor</v>
      </c>
      <c r="CH4" s="45" t="str">
        <f>IF('Seznam zápasů'!F42="","",'Seznam zápasů'!F42)</f>
        <v>011</v>
      </c>
      <c r="CI4" s="39" t="str">
        <f>IF('Seznam zápasů'!G42="","",'Seznam zápasů'!G42)</f>
        <v/>
      </c>
      <c r="CJ4" s="39" t="str">
        <f>IF('Seznam zápasů'!H42="","",'Seznam zápasů'!H42)</f>
        <v/>
      </c>
      <c r="CK4" s="39" t="str">
        <f>IF('Seznam zápasů'!I42="","",'Seznam zápasů'!I42)</f>
        <v/>
      </c>
      <c r="CL4" s="39" t="str">
        <f ca="1">IF('Seznam zápasů'!J42="","",'Seznam zápasů'!J42)</f>
        <v>Nadcházející</v>
      </c>
      <c r="CM4" s="42">
        <f>IF('Seznam zápasů'!A43="","",'Seznam zápasů'!A43)</f>
        <v>46292</v>
      </c>
      <c r="CN4" s="39" t="str">
        <f>IF('Seznam zápasů'!B43="","",'Seznam zápasů'!B43)</f>
        <v>Ne</v>
      </c>
      <c r="CO4" s="39" t="str">
        <f>IF('Seznam zápasů'!D43="","",'Seznam zápasů'!D43)</f>
        <v>žákovská liga</v>
      </c>
      <c r="CP4" s="39" t="str">
        <f>IF('Seznam zápasů'!E43="","",'Seznam zápasů'!E43)</f>
        <v>BK Levhartice Chomutov</v>
      </c>
      <c r="CQ4" s="45" t="str">
        <f>IF('Seznam zápasů'!F43="","",'Seznam zápasů'!F43)</f>
        <v>10</v>
      </c>
      <c r="CR4" s="39" t="str">
        <f>IF('Seznam zápasů'!G43="","",'Seznam zápasů'!G43)</f>
        <v/>
      </c>
      <c r="CS4" s="39" t="str">
        <f>IF('Seznam zápasů'!H43="","",'Seznam zápasů'!H43)</f>
        <v/>
      </c>
      <c r="CT4" s="39" t="str">
        <f>IF('Seznam zápasů'!I43="","",'Seznam zápasů'!I43)</f>
        <v/>
      </c>
      <c r="CU4" s="39" t="str">
        <f ca="1">IF('Seznam zápasů'!J43="","",'Seznam zápasů'!J43)</f>
        <v>Nadcházející</v>
      </c>
      <c r="CV4" s="42">
        <f>IF('Seznam zápasů'!A44="","",'Seznam zápasů'!A44)</f>
        <v>46292</v>
      </c>
      <c r="CW4" s="39" t="str">
        <f>IF('Seznam zápasů'!B44="","",'Seznam zápasů'!B44)</f>
        <v>Ne</v>
      </c>
      <c r="CX4" s="39" t="str">
        <f>IF('Seznam zápasů'!D44="","",'Seznam zápasů'!D44)</f>
        <v>nadreg. Liga</v>
      </c>
      <c r="CY4" s="39" t="str">
        <f>IF('Seznam zápasů'!E44="","",'Seznam zápasů'!E44)</f>
        <v>AŠ Mladá Boleslav</v>
      </c>
      <c r="CZ4" s="45" t="str">
        <f>IF('Seznam zápasů'!F44="","",'Seznam zápasů'!F44)</f>
        <v>026</v>
      </c>
      <c r="DA4" s="39" t="str">
        <f>IF('Seznam zápasů'!G44="","",'Seznam zápasů'!G44)</f>
        <v/>
      </c>
      <c r="DB4" s="39" t="str">
        <f>IF('Seznam zápasů'!H44="","",'Seznam zápasů'!H44)</f>
        <v/>
      </c>
      <c r="DC4" s="39" t="str">
        <f>IF('Seznam zápasů'!I44="","",'Seznam zápasů'!I44)</f>
        <v/>
      </c>
      <c r="DD4" s="39" t="str">
        <f ca="1">IF('Seznam zápasů'!J44="","",'Seznam zápasů'!J44)</f>
        <v>Nadcházející</v>
      </c>
      <c r="DE4" s="42">
        <f>IF('Seznam zápasů'!A15="","",'Seznam zápasů'!A15)</f>
        <v>46284</v>
      </c>
      <c r="DF4" s="39" t="str">
        <f>IF('Seznam zápasů'!B15="","",'Seznam zápasů'!B15)</f>
        <v>So</v>
      </c>
      <c r="DG4" s="39" t="str">
        <f>IF('Seznam zápasů'!D15="","",'Seznam zápasů'!D15)</f>
        <v>žákovská liga</v>
      </c>
      <c r="DH4" s="39" t="str">
        <f>IF('Seznam zápasů'!E15="","",'Seznam zápasů'!E15)</f>
        <v>BK Brandýs</v>
      </c>
      <c r="DI4" s="45" t="str">
        <f>IF('Seznam zápasů'!F15="","",'Seznam zápasů'!F15)</f>
        <v>096</v>
      </c>
      <c r="DJ4" s="39" t="str">
        <f>IF('Seznam zápasů'!G15="","",'Seznam zápasů'!G15)</f>
        <v/>
      </c>
      <c r="DK4" s="39" t="str">
        <f>IF('Seznam zápasů'!H15="","",'Seznam zápasů'!H15)</f>
        <v/>
      </c>
      <c r="DL4" s="39" t="str">
        <f>IF('Seznam zápasů'!I15="","",'Seznam zápasů'!I15)</f>
        <v/>
      </c>
      <c r="DM4" s="39" t="str">
        <f ca="1">IF('Seznam zápasů'!J15="","",'Seznam zápasů'!J15)</f>
        <v>Nadcházející</v>
      </c>
      <c r="DN4" s="42">
        <f>IF('Seznam zápasů'!A27="","",'Seznam zápasů'!A27)</f>
        <v>46285</v>
      </c>
      <c r="DO4" s="39" t="str">
        <f>IF('Seznam zápasů'!B27="","",'Seznam zápasů'!B27)</f>
        <v>Ne</v>
      </c>
      <c r="DP4" s="39" t="str">
        <f>IF('Seznam zápasů'!D27="","",'Seznam zápasů'!D27)</f>
        <v>žákovská liga</v>
      </c>
      <c r="DQ4" s="39" t="str">
        <f>IF('Seznam zápasů'!E27="","",'Seznam zápasů'!E27)</f>
        <v>BK Blansko</v>
      </c>
      <c r="DR4" s="45" t="str">
        <f>IF('Seznam zápasů'!F27="","",'Seznam zápasů'!F27)</f>
        <v>124</v>
      </c>
      <c r="DS4" s="39" t="str">
        <f>IF('Seznam zápasů'!G27="","",'Seznam zápasů'!G27)</f>
        <v/>
      </c>
      <c r="DT4" s="39" t="str">
        <f>IF('Seznam zápasů'!H27="","",'Seznam zápasů'!H27)</f>
        <v/>
      </c>
      <c r="DU4" s="39" t="str">
        <f>IF('Seznam zápasů'!I27="","",'Seznam zápasů'!I27)</f>
        <v/>
      </c>
      <c r="DV4" s="39" t="str">
        <f ca="1">IF('Seznam zápasů'!J27="","",'Seznam zápasů'!J27)</f>
        <v>Nadcházející</v>
      </c>
      <c r="DW4" s="42">
        <f>IF('Seznam zápasů'!A55="","",'Seznam zápasů'!A55)</f>
        <v>46298</v>
      </c>
      <c r="DX4" s="39" t="str">
        <f>IF('Seznam zápasů'!B55="","",'Seznam zápasů'!B55)</f>
        <v>So</v>
      </c>
      <c r="DY4" s="39" t="str">
        <f>IF('Seznam zápasů'!D55="","",'Seznam zápasů'!D55)</f>
        <v>nadreg. liga</v>
      </c>
      <c r="DZ4" s="39" t="str">
        <f>IF('Seznam zápasů'!E55="","",'Seznam zápasů'!E55)</f>
        <v>Slovan Varnsdorf</v>
      </c>
      <c r="EA4" s="45" t="str">
        <f>IF('Seznam zápasů'!F55="","",'Seznam zápasů'!F55)</f>
        <v>006</v>
      </c>
      <c r="EB4" s="39" t="str">
        <f>IF('Seznam zápasů'!G55="","",'Seznam zápasů'!G55)</f>
        <v/>
      </c>
      <c r="EC4" s="39" t="str">
        <f>IF('Seznam zápasů'!H55="","",'Seznam zápasů'!H55)</f>
        <v/>
      </c>
      <c r="ED4" s="39" t="str">
        <f>IF('Seznam zápasů'!I55="","",'Seznam zápasů'!I55)</f>
        <v/>
      </c>
      <c r="EE4" s="39" t="str">
        <f ca="1">IF('Seznam zápasů'!J55="","",'Seznam zápasů'!J55)</f>
        <v>Nadcházející</v>
      </c>
      <c r="EF4" s="42">
        <f>IF('Seznam zápasů'!A32="","",'Seznam zápasů'!A32)</f>
        <v>46291</v>
      </c>
      <c r="EG4" s="39" t="str">
        <f>IF('Seznam zápasů'!B32="","",'Seznam zápasů'!B32)</f>
        <v>So</v>
      </c>
      <c r="EH4" s="39" t="str">
        <f>IF('Seznam zápasů'!D32="","",'Seznam zápasů'!D32)</f>
        <v>KP + kval. o NF</v>
      </c>
      <c r="EI4" s="39" t="str">
        <f>IF('Seznam zápasů'!E32="","",'Seznam zápasů'!E32)</f>
        <v>BK Český Brod</v>
      </c>
      <c r="EJ4" s="45" t="str">
        <f>IF('Seznam zápasů'!F32="","",'Seznam zápasů'!F32)</f>
        <v>002</v>
      </c>
      <c r="EK4" s="39" t="str">
        <f>IF('Seznam zápasů'!G32="","",'Seznam zápasů'!G32)</f>
        <v/>
      </c>
      <c r="EL4" s="39" t="str">
        <f>IF('Seznam zápasů'!H32="","",'Seznam zápasů'!H32)</f>
        <v/>
      </c>
      <c r="EM4" s="39" t="str">
        <f>IF('Seznam zápasů'!I32="","",'Seznam zápasů'!I32)</f>
        <v/>
      </c>
      <c r="EN4" s="39" t="str">
        <f ca="1">IF('Seznam zápasů'!J32="","",'Seznam zápasů'!J32)</f>
        <v>Nadcházející</v>
      </c>
      <c r="EO4" s="42">
        <f>IF('Seznam zápasů'!A49="","",'Seznam zápasů'!A49)</f>
        <v>46298</v>
      </c>
      <c r="EP4" s="39" t="str">
        <f>IF('Seznam zápasů'!B49="","",'Seznam zápasů'!B49)</f>
        <v>So</v>
      </c>
      <c r="EQ4" s="39" t="str">
        <f>IF('Seznam zápasů'!D49="","",'Seznam zápasů'!D49)</f>
        <v>KP + kval. o NF</v>
      </c>
      <c r="ER4" s="39" t="str">
        <f>IF('Seznam zápasů'!E49="","",'Seznam zápasů'!E49)</f>
        <v>BK Brandýs</v>
      </c>
      <c r="ES4" s="45" t="str">
        <f>IF('Seznam zápasů'!F49="","",'Seznam zápasů'!F49)</f>
        <v>2x 005,041</v>
      </c>
      <c r="ET4" s="39" t="str">
        <f>IF('Seznam zápasů'!G49="","",'Seznam zápasů'!G49)</f>
        <v/>
      </c>
      <c r="EU4" s="39" t="str">
        <f>IF('Seznam zápasů'!H49="","",'Seznam zápasů'!H49)</f>
        <v/>
      </c>
      <c r="EV4" s="39" t="str">
        <f>IF('Seznam zápasů'!I49="","",'Seznam zápasů'!I49)</f>
        <v/>
      </c>
      <c r="EW4" s="39" t="str">
        <f ca="1">IF('Seznam zápasů'!J49="","",'Seznam zápasů'!J49)</f>
        <v>Nadcházející</v>
      </c>
      <c r="EX4" s="42">
        <f>IF('Seznam zápasů'!A31="","",'Seznam zápasů'!A31)</f>
        <v>46291</v>
      </c>
      <c r="EY4" s="39" t="str">
        <f>IF('Seznam zápasů'!B31="","",'Seznam zápasů'!B31)</f>
        <v>So</v>
      </c>
      <c r="EZ4" s="39" t="str">
        <f>IF('Seznam zápasů'!D31="","",'Seznam zápasů'!D31)</f>
        <v>KP + kval. o NF</v>
      </c>
      <c r="FA4" s="39" t="str">
        <f>IF('Seznam zápasů'!E31="","",'Seznam zápasů'!E31)</f>
        <v>BA Nymburk</v>
      </c>
      <c r="FB4" s="45" t="str">
        <f>IF('Seznam zápasů'!F31="","",'Seznam zápasů'!F31)</f>
        <v>2x 004,052</v>
      </c>
      <c r="FC4" s="39" t="str">
        <f>IF('Seznam zápasů'!G31="","",'Seznam zápasů'!G31)</f>
        <v/>
      </c>
      <c r="FD4" s="39" t="str">
        <f>IF('Seznam zápasů'!H31="","",'Seznam zápasů'!H31)</f>
        <v/>
      </c>
      <c r="FE4" s="39" t="str">
        <f>IF('Seznam zápasů'!I31="","",'Seznam zápasů'!I31)</f>
        <v/>
      </c>
      <c r="FF4" s="39" t="str">
        <f ca="1">IF('Seznam zápasů'!J31="","",'Seznam zápasů'!J31)</f>
        <v>Nadcházející</v>
      </c>
      <c r="FG4" s="42">
        <f>IF('Seznam zápasů'!A85="","",'Seznam zápasů'!A85)</f>
        <v>46312</v>
      </c>
      <c r="FH4" s="39" t="str">
        <f>IF('Seznam zápasů'!B85="","",'Seznam zápasů'!B85)</f>
        <v>So</v>
      </c>
      <c r="FI4" s="39" t="str">
        <f>IF('Seznam zápasů'!D85="","",'Seznam zápasů'!D85)</f>
        <v>KP</v>
      </c>
      <c r="FJ4" s="39" t="str">
        <f>IF('Seznam zápasů'!E85="","",'Seznam zápasů'!E85)</f>
        <v>BK Mělník</v>
      </c>
      <c r="FK4" s="45" t="str">
        <f>IF('Seznam zápasů'!F85="","",'Seznam zápasů'!F85)</f>
        <v>2x 002,022</v>
      </c>
      <c r="FL4" s="39" t="str">
        <f>IF('Seznam zápasů'!G85="","",'Seznam zápasů'!G85)</f>
        <v/>
      </c>
      <c r="FM4" s="39" t="str">
        <f>IF('Seznam zápasů'!H85="","",'Seznam zápasů'!H85)</f>
        <v/>
      </c>
      <c r="FN4" s="39" t="str">
        <f>IF('Seznam zápasů'!I85="","",'Seznam zápasů'!I85)</f>
        <v/>
      </c>
      <c r="FO4" s="39" t="str">
        <f ca="1">IF('Seznam zápasů'!J85="","",'Seznam zápasů'!J85)</f>
        <v>Nadcházející</v>
      </c>
      <c r="FP4" s="42">
        <f>IF('Seznam zápasů'!A8="","",'Seznam zápasů'!A8)</f>
        <v>46278</v>
      </c>
      <c r="FQ4" s="39" t="str">
        <f>IF('Seznam zápasů'!B8="","",'Seznam zápasů'!B8)</f>
        <v>Ne</v>
      </c>
      <c r="FR4" s="39" t="str">
        <f>IF('Seznam zápasů'!D8="","",'Seznam zápasů'!D8)</f>
        <v>KP + kval. o NF</v>
      </c>
      <c r="FS4" s="39" t="str">
        <f>IF('Seznam zápasů'!E8="","",'Seznam zápasů'!E8)</f>
        <v>Sokol Nehvizdy</v>
      </c>
      <c r="FT4" s="45" t="str">
        <f>IF('Seznam zápasů'!F8="","",'Seznam zápasů'!F8)</f>
        <v>011</v>
      </c>
      <c r="FU4" s="39" t="str">
        <f>IF('Seznam zápasů'!G8="","",'Seznam zápasů'!G8)</f>
        <v/>
      </c>
      <c r="FV4" s="39" t="str">
        <f>IF('Seznam zápasů'!H8="","",'Seznam zápasů'!H8)</f>
        <v/>
      </c>
      <c r="FW4" s="39" t="str">
        <f>IF('Seznam zápasů'!I8="","",'Seznam zápasů'!I8)</f>
        <v/>
      </c>
      <c r="FX4" s="39" t="str">
        <f ca="1">IF('Seznam zápasů'!J8="","",'Seznam zápasů'!J8)</f>
        <v>Nadcházející</v>
      </c>
      <c r="FY4" s="42">
        <f>IF('Seznam zápasů'!A51="","",'Seznam zápasů'!A51)</f>
        <v>46298</v>
      </c>
      <c r="FZ4" s="39" t="str">
        <f>IF('Seznam zápasů'!B51="","",'Seznam zápasů'!B51)</f>
        <v>So</v>
      </c>
      <c r="GA4" s="39" t="str">
        <f>IF('Seznam zápasů'!D51="","",'Seznam zápasů'!D51)</f>
        <v>KP + kval. o NF</v>
      </c>
      <c r="GB4" s="39" t="str">
        <f>IF('Seznam zápasů'!E51="","",'Seznam zápasů'!E51)</f>
        <v>BC Kolín</v>
      </c>
      <c r="GC4" s="45" t="str">
        <f>IF('Seznam zápasů'!F51="","",'Seznam zápasů'!F51)</f>
        <v>2x 005,033</v>
      </c>
      <c r="GD4" s="39" t="str">
        <f>IF('Seznam zápasů'!G51="","",'Seznam zápasů'!G51)</f>
        <v/>
      </c>
      <c r="GE4" s="39" t="str">
        <f>IF('Seznam zápasů'!H51="","",'Seznam zápasů'!H51)</f>
        <v/>
      </c>
      <c r="GF4" s="39" t="str">
        <f>IF('Seznam zápasů'!I51="","",'Seznam zápasů'!I51)</f>
        <v/>
      </c>
      <c r="GG4" s="39" t="str">
        <f ca="1">IF('Seznam zápasů'!J51="","",'Seznam zápasů'!J51)</f>
        <v>Nadcházející</v>
      </c>
      <c r="GH4" s="42">
        <f>IF('Seznam zápasů'!A71="","",'Seznam zápasů'!A71)</f>
        <v>46305</v>
      </c>
      <c r="GI4" s="39" t="str">
        <f>IF('Seznam zápasů'!B71="","",'Seznam zápasů'!B71)</f>
        <v>So</v>
      </c>
      <c r="GJ4" s="39" t="str">
        <f>IF('Seznam zápasů'!D71="","",'Seznam zápasů'!D71)</f>
        <v>KP + kval. o NF</v>
      </c>
      <c r="GK4" s="39" t="str">
        <f>IF('Seznam zápasů'!E71="","",'Seznam zápasů'!E71)</f>
        <v>BC Slaný</v>
      </c>
      <c r="GL4" s="45" t="str">
        <f>IF('Seznam zápasů'!F71="","",'Seznam zápasů'!F71)</f>
        <v>2x 005,026</v>
      </c>
      <c r="GM4" s="39" t="str">
        <f>IF('Seznam zápasů'!G71="","",'Seznam zápasů'!G71)</f>
        <v/>
      </c>
      <c r="GN4" s="39" t="str">
        <f>IF('Seznam zápasů'!H71="","",'Seznam zápasů'!H71)</f>
        <v/>
      </c>
      <c r="GO4" s="39" t="str">
        <f>IF('Seznam zápasů'!I71="","",'Seznam zápasů'!I71)</f>
        <v/>
      </c>
      <c r="GP4" s="39" t="str">
        <f ca="1">IF('Seznam zápasů'!J71="","",'Seznam zápasů'!J71)</f>
        <v>Nadcházející</v>
      </c>
      <c r="GQ4" s="42">
        <f>IF('Seznam zápasů'!A87="","",'Seznam zápasů'!A87)</f>
        <v>46312</v>
      </c>
      <c r="GR4" s="39" t="str">
        <f>IF('Seznam zápasů'!B87="","",'Seznam zápasů'!B87)</f>
        <v>So</v>
      </c>
      <c r="GS4" s="39" t="str">
        <f>IF('Seznam zápasů'!D87="","",'Seznam zápasů'!D87)</f>
        <v>KP</v>
      </c>
      <c r="GT4" s="39" t="str">
        <f>IF('Seznam zápasů'!E87="","",'Seznam zápasů'!E87)</f>
        <v>TJ AŚ Mladá Boleslav</v>
      </c>
      <c r="GU4" s="45" t="str">
        <f>IF('Seznam zápasů'!F87="","",'Seznam zápasů'!F87)</f>
        <v>2x 004,024</v>
      </c>
      <c r="GV4" s="39" t="str">
        <f>IF('Seznam zápasů'!G87="","",'Seznam zápasů'!G87)</f>
        <v/>
      </c>
      <c r="GW4" s="39" t="str">
        <f>IF('Seznam zápasů'!H87="","",'Seznam zápasů'!H87)</f>
        <v/>
      </c>
      <c r="GX4" s="39" t="str">
        <f>IF('Seznam zápasů'!I87="","",'Seznam zápasů'!I87)</f>
        <v/>
      </c>
      <c r="GY4" s="39" t="str">
        <f ca="1">IF('Seznam zápasů'!J87="","",'Seznam zápasů'!J87)</f>
        <v>Nadcházející</v>
      </c>
    </row>
    <row r="5" spans="1:216" x14ac:dyDescent="0.2">
      <c r="A5" s="42">
        <f>IF('Seznam zápasů'!A52="","",'Seznam zápasů'!A52)</f>
        <v>46298</v>
      </c>
      <c r="B5" s="39" t="str">
        <f>IF('Seznam zápasů'!B52="","",'Seznam zápasů'!B52)</f>
        <v>So</v>
      </c>
      <c r="C5" s="39" t="str">
        <f>IF('Seznam zápasů'!D52="","",'Seznam zápasů'!D52)</f>
        <v>SBLM</v>
      </c>
      <c r="D5" s="39" t="str">
        <f>IF('Seznam zápasů'!E52="","",'Seznam zápasů'!E52)</f>
        <v>BK Brandýs n.L. "B"</v>
      </c>
      <c r="E5" s="45" t="str">
        <f>IF('Seznam zápasů'!F52="","",'Seznam zápasů'!F52)</f>
        <v>013</v>
      </c>
      <c r="F5" s="39" t="str">
        <f>IF('Seznam zápasů'!G52="","",'Seznam zápasů'!G52)</f>
        <v/>
      </c>
      <c r="G5" s="39" t="str">
        <f>IF('Seznam zápasů'!H52="","",'Seznam zápasů'!H52)</f>
        <v/>
      </c>
      <c r="H5" s="39" t="str">
        <f>IF('Seznam zápasů'!I52="","",'Seznam zápasů'!I52)</f>
        <v/>
      </c>
      <c r="I5" s="39" t="str">
        <f ca="1">IF('Seznam zápasů'!J52="","",'Seznam zápasů'!J52)</f>
        <v>Nadcházející</v>
      </c>
      <c r="J5" s="42">
        <f>IF('Seznam zápasů'!A78="","",'Seznam zápasů'!A78)</f>
        <v>46306</v>
      </c>
      <c r="K5" s="39" t="str">
        <f>IF('Seznam zápasů'!B78="","",'Seznam zápasů'!B78)</f>
        <v>Ne</v>
      </c>
      <c r="L5" s="39" t="str">
        <f>IF('Seznam zápasů'!D78="","",'Seznam zápasů'!D78)</f>
        <v>KP</v>
      </c>
      <c r="M5" s="39" t="str">
        <f>IF('Seznam zápasů'!E78="","",'Seznam zápasů'!E78)</f>
        <v>BK Mělník</v>
      </c>
      <c r="N5" s="45" t="str">
        <f>IF('Seznam zápasů'!F78="","",'Seznam zápasů'!F78)</f>
        <v>013</v>
      </c>
      <c r="O5" s="39" t="str">
        <f>IF('Seznam zápasů'!G78="","",'Seznam zápasů'!G78)</f>
        <v/>
      </c>
      <c r="P5" s="39" t="str">
        <f>IF('Seznam zápasů'!H78="","",'Seznam zápasů'!H78)</f>
        <v/>
      </c>
      <c r="Q5" s="39" t="str">
        <f>IF('Seznam zápasů'!I78="","",'Seznam zápasů'!I78)</f>
        <v/>
      </c>
      <c r="R5" s="39" t="str">
        <f ca="1">IF('Seznam zápasů'!J78="","",'Seznam zápasů'!J78)</f>
        <v>Nadcházející</v>
      </c>
      <c r="S5" s="42">
        <f>IF('Seznam zápasů'!A56="","",'Seznam zápasů'!A56)</f>
        <v>46298</v>
      </c>
      <c r="T5" s="39" t="str">
        <f>IF('Seznam zápasů'!B56="","",'Seznam zápasů'!B56)</f>
        <v>So</v>
      </c>
      <c r="U5" s="39" t="str">
        <f>IF('Seznam zápasů'!D56="","",'Seznam zápasů'!D56)</f>
        <v>II. Liga</v>
      </c>
      <c r="V5" s="39" t="str">
        <f>IF('Seznam zápasů'!E56="","",'Seznam zápasů'!E56)</f>
        <v>BA Louny</v>
      </c>
      <c r="W5" s="45" t="str">
        <f>IF('Seznam zápasů'!F56="","",'Seznam zápasů'!F56)</f>
        <v>014</v>
      </c>
      <c r="X5" s="39" t="str">
        <f>IF('Seznam zápasů'!G56="","",'Seznam zápasů'!G56)</f>
        <v/>
      </c>
      <c r="Y5" s="39" t="str">
        <f>IF('Seznam zápasů'!H56="","",'Seznam zápasů'!H56)</f>
        <v/>
      </c>
      <c r="Z5" s="39" t="str">
        <f>IF('Seznam zápasů'!I56="","",'Seznam zápasů'!I56)</f>
        <v/>
      </c>
      <c r="AA5" s="39" t="str">
        <f ca="1">IF('Seznam zápasů'!J56="","",'Seznam zápasů'!J56)</f>
        <v>Nadcházející</v>
      </c>
      <c r="AB5" s="42">
        <f>IF('Seznam zápasů'!A66="","",'Seznam zápasů'!A66)</f>
        <v>46299</v>
      </c>
      <c r="AC5" s="39" t="str">
        <f>IF('Seznam zápasů'!B66="","",'Seznam zápasů'!B66)</f>
        <v>Ne</v>
      </c>
      <c r="AD5" s="39" t="str">
        <f>IF('Seznam zápasů'!D66="","",'Seznam zápasů'!D66)</f>
        <v>SBLŽ</v>
      </c>
      <c r="AE5" s="39" t="str">
        <f>IF('Seznam zápasů'!E66="","",'Seznam zápasů'!E66)</f>
        <v>BK Sojky Pelhřimov</v>
      </c>
      <c r="AF5" s="45" t="str">
        <f>IF('Seznam zápasů'!F66="","",'Seznam zápasů'!F66)</f>
        <v>014</v>
      </c>
      <c r="AG5" s="39" t="str">
        <f>IF('Seznam zápasů'!G66="","",'Seznam zápasů'!G66)</f>
        <v/>
      </c>
      <c r="AH5" s="39" t="str">
        <f>IF('Seznam zápasů'!H66="","",'Seznam zápasů'!H66)</f>
        <v/>
      </c>
      <c r="AI5" s="39" t="str">
        <f>IF('Seznam zápasů'!I66="","",'Seznam zápasů'!I66)</f>
        <v/>
      </c>
      <c r="AJ5" s="39" t="str">
        <f ca="1">IF('Seznam zápasů'!J66="","",'Seznam zápasů'!J66)</f>
        <v>Nadcházející</v>
      </c>
      <c r="AK5" s="42">
        <f>IF('Seznam zápasů'!A67="","",'Seznam zápasů'!A67)</f>
        <v>46299</v>
      </c>
      <c r="AL5" s="39" t="str">
        <f>IF('Seznam zápasů'!B67="","",'Seznam zápasů'!B67)</f>
        <v>Ne</v>
      </c>
      <c r="AM5" s="39" t="str">
        <f>IF('Seznam zápasů'!D67="","",'Seznam zápasů'!D67)</f>
        <v>SBLŽ</v>
      </c>
      <c r="AN5" s="39" t="str">
        <f>IF('Seznam zápasů'!E67="","",'Seznam zápasů'!E67)</f>
        <v>BC Kolín "B"</v>
      </c>
      <c r="AO5" s="45" t="str">
        <f>IF('Seznam zápasů'!F67="","",'Seznam zápasů'!F67)</f>
        <v>012</v>
      </c>
      <c r="AP5" s="39" t="str">
        <f>IF('Seznam zápasů'!G67="","",'Seznam zápasů'!G67)</f>
        <v/>
      </c>
      <c r="AQ5" s="39" t="str">
        <f>IF('Seznam zápasů'!H67="","",'Seznam zápasů'!H67)</f>
        <v/>
      </c>
      <c r="AR5" s="39" t="str">
        <f>IF('Seznam zápasů'!I67="","",'Seznam zápasů'!I67)</f>
        <v/>
      </c>
      <c r="AS5" s="39" t="str">
        <f ca="1">IF('Seznam zápasů'!J67="","",'Seznam zápasů'!J67)</f>
        <v>Nadcházející</v>
      </c>
      <c r="AT5" s="42">
        <f>IF('Seznam zápasů'!A68="","",'Seznam zápasů'!A68)</f>
        <v>46305</v>
      </c>
      <c r="AU5" s="39" t="str">
        <f>IF('Seznam zápasů'!B68="","",'Seznam zápasů'!B68)</f>
        <v>So</v>
      </c>
      <c r="AV5" s="39" t="str">
        <f>IF('Seznam zápasů'!D68="","",'Seznam zápasů'!D68)</f>
        <v>NRL</v>
      </c>
      <c r="AW5" s="39" t="str">
        <f>IF('Seznam zápasů'!E68="","",'Seznam zápasů'!E68)</f>
        <v>Radotínský SK</v>
      </c>
      <c r="AX5" s="45" t="str">
        <f>IF('Seznam zápasů'!F68="","",'Seznam zápasů'!F68)</f>
        <v>19231</v>
      </c>
      <c r="AY5" s="39" t="str">
        <f>IF('Seznam zápasů'!G68="","",'Seznam zápasů'!G68)</f>
        <v/>
      </c>
      <c r="AZ5" s="39" t="str">
        <f>IF('Seznam zápasů'!H68="","",'Seznam zápasů'!H68)</f>
        <v/>
      </c>
      <c r="BA5" s="39" t="str">
        <f>IF('Seznam zápasů'!I68="","",'Seznam zápasů'!I68)</f>
        <v/>
      </c>
      <c r="BB5" s="39" t="str">
        <f ca="1">IF('Seznam zápasů'!J68="","",'Seznam zápasů'!J68)</f>
        <v>Nadcházející</v>
      </c>
      <c r="BC5" s="42">
        <f>IF('Seznam zápasů'!A45="","",'Seznam zápasů'!A45)</f>
        <v>46298</v>
      </c>
      <c r="BD5" s="39" t="str">
        <f>IF('Seznam zápasů'!B45="","",'Seznam zápasů'!B45)</f>
        <v>So</v>
      </c>
      <c r="BE5" s="39" t="str">
        <f>IF('Seznam zápasů'!D45="","",'Seznam zápasů'!D45)</f>
        <v>nadreg. liga</v>
      </c>
      <c r="BF5" s="39" t="str">
        <f>IF('Seznam zápasů'!E45="","",'Seznam zápasů'!E45)</f>
        <v>Basket Poděbrady B</v>
      </c>
      <c r="BG5" s="45" t="str">
        <f>IF('Seznam zápasů'!F45="","",'Seznam zápasů'!F45)</f>
        <v>17124</v>
      </c>
      <c r="BH5" s="39" t="str">
        <f>IF('Seznam zápasů'!G45="","",'Seznam zápasů'!G45)</f>
        <v/>
      </c>
      <c r="BI5" s="39" t="str">
        <f>IF('Seznam zápasů'!H45="","",'Seznam zápasů'!H45)</f>
        <v/>
      </c>
      <c r="BJ5" s="39" t="str">
        <f>IF('Seznam zápasů'!I45="","",'Seznam zápasů'!I45)</f>
        <v/>
      </c>
      <c r="BK5" s="39" t="str">
        <f ca="1">IF('Seznam zápasů'!J45="","",'Seznam zápasů'!J45)</f>
        <v>Nadcházející</v>
      </c>
      <c r="BL5" s="42">
        <f>IF('Seznam zápasů'!A46="","",'Seznam zápasů'!A46)</f>
        <v>46298</v>
      </c>
      <c r="BM5" s="39" t="str">
        <f>IF('Seznam zápasů'!B46="","",'Seznam zápasů'!B46)</f>
        <v>So</v>
      </c>
      <c r="BN5" s="39" t="str">
        <f>IF('Seznam zápasů'!D46="","",'Seznam zápasů'!D46)</f>
        <v>celostátní liga</v>
      </c>
      <c r="BO5" s="39" t="str">
        <f>IF('Seznam zápasů'!E46="","",'Seznam zápasů'!E46)</f>
        <v>HB Basket Praha B</v>
      </c>
      <c r="BP5" s="45" t="str">
        <f>IF('Seznam zápasů'!F46="","",'Seznam zápasů'!F46)</f>
        <v>072</v>
      </c>
      <c r="BQ5" s="39" t="str">
        <f>IF('Seznam zápasů'!G46="","",'Seznam zápasů'!G46)</f>
        <v/>
      </c>
      <c r="BR5" s="39" t="str">
        <f>IF('Seznam zápasů'!H46="","",'Seznam zápasů'!H46)</f>
        <v/>
      </c>
      <c r="BS5" s="39" t="str">
        <f>IF('Seznam zápasů'!I46="","",'Seznam zápasů'!I46)</f>
        <v/>
      </c>
      <c r="BT5" s="39" t="str">
        <f ca="1">IF('Seznam zápasů'!J46="","",'Seznam zápasů'!J46)</f>
        <v>Nadcházející</v>
      </c>
      <c r="BU5" s="42">
        <f>IF('Seznam zápasů'!A47="","",'Seznam zápasů'!A47)</f>
        <v>46298</v>
      </c>
      <c r="BV5" s="39" t="str">
        <f>IF('Seznam zápasů'!B47="","",'Seznam zápasů'!B47)</f>
        <v>So</v>
      </c>
      <c r="BW5" s="39" t="str">
        <f>IF('Seznam zápasů'!D47="","",'Seznam zápasů'!D47)</f>
        <v>nadreg. liga</v>
      </c>
      <c r="BX5" s="39" t="str">
        <f>IF('Seznam zápasů'!E47="","",'Seznam zápasů'!E47)</f>
        <v>PORG Basket</v>
      </c>
      <c r="BY5" s="45" t="str">
        <f>IF('Seznam zápasů'!F47="","",'Seznam zápasů'!F47)</f>
        <v>17548</v>
      </c>
      <c r="BZ5" s="39" t="str">
        <f>IF('Seznam zápasů'!G47="","",'Seznam zápasů'!G47)</f>
        <v/>
      </c>
      <c r="CA5" s="39" t="str">
        <f>IF('Seznam zápasů'!H47="","",'Seznam zápasů'!H47)</f>
        <v/>
      </c>
      <c r="CB5" s="39" t="str">
        <f>IF('Seznam zápasů'!I47="","",'Seznam zápasů'!I47)</f>
        <v/>
      </c>
      <c r="CC5" s="39" t="str">
        <f ca="1">IF('Seznam zápasů'!J47="","",'Seznam zápasů'!J47)</f>
        <v>Nadcházející</v>
      </c>
      <c r="CD5" s="42">
        <f>IF('Seznam zápasů'!A73="","",'Seznam zápasů'!A73)</f>
        <v>46305</v>
      </c>
      <c r="CE5" s="39" t="str">
        <f>IF('Seznam zápasů'!B73="","",'Seznam zápasů'!B73)</f>
        <v>So</v>
      </c>
      <c r="CF5" s="39" t="str">
        <f>IF('Seznam zápasů'!D73="","",'Seznam zápasů'!D73)</f>
        <v>žákovská liga</v>
      </c>
      <c r="CG5" s="39" t="str">
        <f>IF('Seznam zápasů'!E73="","",'Seznam zápasů'!E73)</f>
        <v>Jižní Supi</v>
      </c>
      <c r="CH5" s="45" t="str">
        <f>IF('Seznam zápasů'!F73="","",'Seznam zápasů'!F73)</f>
        <v>015</v>
      </c>
      <c r="CI5" s="39" t="str">
        <f>IF('Seznam zápasů'!G73="","",'Seznam zápasů'!G73)</f>
        <v/>
      </c>
      <c r="CJ5" s="39" t="str">
        <f>IF('Seznam zápasů'!H73="","",'Seznam zápasů'!H73)</f>
        <v/>
      </c>
      <c r="CK5" s="39" t="str">
        <f>IF('Seznam zápasů'!I73="","",'Seznam zápasů'!I73)</f>
        <v/>
      </c>
      <c r="CL5" s="39" t="str">
        <f ca="1">IF('Seznam zápasů'!J73="","",'Seznam zápasů'!J73)</f>
        <v>Nadcházející</v>
      </c>
      <c r="CM5" s="42">
        <f>IF('Seznam zápasů'!A74="","",'Seznam zápasů'!A74)</f>
        <v>46305</v>
      </c>
      <c r="CN5" s="39" t="str">
        <f>IF('Seznam zápasů'!B74="","",'Seznam zápasů'!B74)</f>
        <v>So</v>
      </c>
      <c r="CO5" s="39" t="str">
        <f>IF('Seznam zápasů'!D74="","",'Seznam zápasů'!D74)</f>
        <v>žákovská liga</v>
      </c>
      <c r="CP5" s="39" t="str">
        <f>IF('Seznam zápasů'!E74="","",'Seznam zápasů'!E74)</f>
        <v>Tigers České Budějovice</v>
      </c>
      <c r="CQ5" s="45" t="str">
        <f>IF('Seznam zápasů'!F74="","",'Seznam zápasů'!F74)</f>
        <v>016</v>
      </c>
      <c r="CR5" s="39" t="str">
        <f>IF('Seznam zápasů'!G74="","",'Seznam zápasů'!G74)</f>
        <v/>
      </c>
      <c r="CS5" s="39" t="str">
        <f>IF('Seznam zápasů'!H74="","",'Seznam zápasů'!H74)</f>
        <v/>
      </c>
      <c r="CT5" s="39" t="str">
        <f>IF('Seznam zápasů'!I74="","",'Seznam zápasů'!I74)</f>
        <v/>
      </c>
      <c r="CU5" s="39" t="str">
        <f ca="1">IF('Seznam zápasů'!J74="","",'Seznam zápasů'!J74)</f>
        <v>Nadcházející</v>
      </c>
      <c r="CV5" s="42">
        <f>IF('Seznam zápasů'!A75="","",'Seznam zápasů'!A75)</f>
        <v>46305</v>
      </c>
      <c r="CW5" s="39" t="str">
        <f>IF('Seznam zápasů'!B75="","",'Seznam zápasů'!B75)</f>
        <v>So</v>
      </c>
      <c r="CX5" s="39" t="str">
        <f>IF('Seznam zápasů'!D75="","",'Seznam zápasů'!D75)</f>
        <v>nadreg. Liga</v>
      </c>
      <c r="CY5" s="39" t="str">
        <f>IF('Seznam zápasů'!E75="","",'Seznam zápasů'!E75)</f>
        <v>Sokol Pečky</v>
      </c>
      <c r="CZ5" s="45" t="str">
        <f>IF('Seznam zápasů'!F75="","",'Seznam zápasů'!F75)</f>
        <v>043</v>
      </c>
      <c r="DA5" s="39" t="str">
        <f>IF('Seznam zápasů'!G75="","",'Seznam zápasů'!G75)</f>
        <v/>
      </c>
      <c r="DB5" s="39" t="str">
        <f>IF('Seznam zápasů'!H75="","",'Seznam zápasů'!H75)</f>
        <v/>
      </c>
      <c r="DC5" s="39" t="str">
        <f>IF('Seznam zápasů'!I75="","",'Seznam zápasů'!I75)</f>
        <v/>
      </c>
      <c r="DD5" s="39" t="str">
        <f ca="1">IF('Seznam zápasů'!J75="","",'Seznam zápasů'!J75)</f>
        <v>Nadcházející</v>
      </c>
      <c r="DE5" s="42">
        <f>IF('Seznam zápasů'!A26="","",'Seznam zápasů'!A26)</f>
        <v>46285</v>
      </c>
      <c r="DF5" s="39" t="str">
        <f>IF('Seznam zápasů'!B26="","",'Seznam zápasů'!B26)</f>
        <v>Ne</v>
      </c>
      <c r="DG5" s="39" t="str">
        <f>IF('Seznam zápasů'!D26="","",'Seznam zápasů'!D26)</f>
        <v>žákovská liga</v>
      </c>
      <c r="DH5" s="39" t="str">
        <f>IF('Seznam zápasů'!E26="","",'Seznam zápasů'!E26)</f>
        <v>Jižní Supi</v>
      </c>
      <c r="DI5" s="45" t="str">
        <f>IF('Seznam zápasů'!F26="","",'Seznam zápasů'!F26)</f>
        <v>099</v>
      </c>
      <c r="DJ5" s="39" t="str">
        <f>IF('Seznam zápasů'!G26="","",'Seznam zápasů'!G26)</f>
        <v/>
      </c>
      <c r="DK5" s="39" t="str">
        <f>IF('Seznam zápasů'!H26="","",'Seznam zápasů'!H26)</f>
        <v/>
      </c>
      <c r="DL5" s="39" t="str">
        <f>IF('Seznam zápasů'!I26="","",'Seznam zápasů'!I26)</f>
        <v/>
      </c>
      <c r="DM5" s="39" t="str">
        <f ca="1">IF('Seznam zápasů'!J26="","",'Seznam zápasů'!J26)</f>
        <v>Nadcházející</v>
      </c>
      <c r="DN5" s="42">
        <f>IF('Seznam zápasů'!A54="","",'Seznam zápasů'!A54)</f>
        <v>46298</v>
      </c>
      <c r="DO5" s="39" t="str">
        <f>IF('Seznam zápasů'!B54="","",'Seznam zápasů'!B54)</f>
        <v>So</v>
      </c>
      <c r="DP5" s="39" t="str">
        <f>IF('Seznam zápasů'!D54="","",'Seznam zápasů'!D54)</f>
        <v>žákovská liga</v>
      </c>
      <c r="DQ5" s="39" t="str">
        <f>IF('Seznam zápasů'!E54="","",'Seznam zápasů'!E54)</f>
        <v>Žabiny Brno</v>
      </c>
      <c r="DR5" s="45" t="str">
        <f>IF('Seznam zápasů'!F54="","",'Seznam zápasů'!F54)</f>
        <v>127</v>
      </c>
      <c r="DS5" s="39" t="str">
        <f>IF('Seznam zápasů'!G54="","",'Seznam zápasů'!G54)</f>
        <v/>
      </c>
      <c r="DT5" s="39" t="str">
        <f>IF('Seznam zápasů'!H54="","",'Seznam zápasů'!H54)</f>
        <v/>
      </c>
      <c r="DU5" s="39" t="str">
        <f>IF('Seznam zápasů'!I54="","",'Seznam zápasů'!I54)</f>
        <v/>
      </c>
      <c r="DV5" s="39" t="str">
        <f ca="1">IF('Seznam zápasů'!J54="","",'Seznam zápasů'!J54)</f>
        <v>Nadcházející</v>
      </c>
      <c r="DW5" s="42">
        <f>IF('Seznam zápasů'!A92="","",'Seznam zápasů'!A92)</f>
        <v>46312</v>
      </c>
      <c r="DX5" s="39" t="str">
        <f>IF('Seznam zápasů'!B92="","",'Seznam zápasů'!B92)</f>
        <v>So</v>
      </c>
      <c r="DY5" s="39" t="str">
        <f>IF('Seznam zápasů'!D92="","",'Seznam zápasů'!D92)</f>
        <v>nadreg. liga</v>
      </c>
      <c r="DZ5" s="39" t="str">
        <f>IF('Seznam zápasů'!E92="","",'Seznam zápasů'!E92)</f>
        <v>Basket Slovanka B</v>
      </c>
      <c r="EA5" s="45" t="str">
        <f>IF('Seznam zápasů'!F92="","",'Seznam zápasů'!F92)</f>
        <v>011</v>
      </c>
      <c r="EB5" s="39" t="str">
        <f>IF('Seznam zápasů'!G92="","",'Seznam zápasů'!G92)</f>
        <v/>
      </c>
      <c r="EC5" s="39" t="str">
        <f>IF('Seznam zápasů'!H92="","",'Seznam zápasů'!H92)</f>
        <v/>
      </c>
      <c r="ED5" s="39" t="str">
        <f>IF('Seznam zápasů'!I92="","",'Seznam zápasů'!I92)</f>
        <v/>
      </c>
      <c r="EE5" s="39" t="str">
        <f ca="1">IF('Seznam zápasů'!J92="","",'Seznam zápasů'!J92)</f>
        <v>Nadcházející</v>
      </c>
      <c r="EF5" s="42">
        <f>IF('Seznam zápasů'!A40="","",'Seznam zápasů'!A40)</f>
        <v>46292</v>
      </c>
      <c r="EG5" s="39" t="str">
        <f>IF('Seznam zápasů'!B40="","",'Seznam zápasů'!B40)</f>
        <v>Ne</v>
      </c>
      <c r="EH5" s="39" t="str">
        <f>IF('Seznam zápasů'!D40="","",'Seznam zápasů'!D40)</f>
        <v>KP + kval. o NF</v>
      </c>
      <c r="EI5" s="39" t="str">
        <f>IF('Seznam zápasů'!E40="","",'Seznam zápasů'!E40)</f>
        <v>NBK Milovice</v>
      </c>
      <c r="EJ5" s="45" t="str">
        <f>IF('Seznam zápasů'!F40="","",'Seznam zápasů'!F40)</f>
        <v>004</v>
      </c>
      <c r="EK5" s="39" t="str">
        <f>IF('Seznam zápasů'!G40="","",'Seznam zápasů'!G40)</f>
        <v/>
      </c>
      <c r="EL5" s="39" t="str">
        <f>IF('Seznam zápasů'!H40="","",'Seznam zápasů'!H40)</f>
        <v/>
      </c>
      <c r="EM5" s="39" t="str">
        <f>IF('Seznam zápasů'!I40="","",'Seznam zápasů'!I40)</f>
        <v/>
      </c>
      <c r="EN5" s="39" t="str">
        <f ca="1">IF('Seznam zápasů'!J40="","",'Seznam zápasů'!J40)</f>
        <v>Nadcházející</v>
      </c>
      <c r="EO5" s="42">
        <f>IF('Seznam zápasů'!A86="","",'Seznam zápasů'!A86)</f>
        <v>46312</v>
      </c>
      <c r="EP5" s="39" t="str">
        <f>IF('Seznam zápasů'!B86="","",'Seznam zápasů'!B86)</f>
        <v>So</v>
      </c>
      <c r="EQ5" s="39" t="str">
        <f>IF('Seznam zápasů'!D86="","",'Seznam zápasů'!D86)</f>
        <v>KP + kval. o NF</v>
      </c>
      <c r="ER5" s="39" t="str">
        <f>IF('Seznam zápasů'!E86="","",'Seznam zápasů'!E86)</f>
        <v>TJ AŠ Mladá Boleslav</v>
      </c>
      <c r="ES5" s="45" t="str">
        <f>IF('Seznam zápasů'!F86="","",'Seznam zápasů'!F86)</f>
        <v>2x 011, 047</v>
      </c>
      <c r="ET5" s="39" t="str">
        <f>IF('Seznam zápasů'!G86="","",'Seznam zápasů'!G86)</f>
        <v/>
      </c>
      <c r="EU5" s="39" t="str">
        <f>IF('Seznam zápasů'!H86="","",'Seznam zápasů'!H86)</f>
        <v/>
      </c>
      <c r="EV5" s="39" t="str">
        <f>IF('Seznam zápasů'!I86="","",'Seznam zápasů'!I86)</f>
        <v/>
      </c>
      <c r="EW5" s="39" t="str">
        <f ca="1">IF('Seznam zápasů'!J86="","",'Seznam zápasů'!J86)</f>
        <v>Nadcházející</v>
      </c>
      <c r="EX5" s="42">
        <f>IF('Seznam zápasů'!A69="","",'Seznam zápasů'!A69)</f>
        <v>46305</v>
      </c>
      <c r="EY5" s="39" t="str">
        <f>IF('Seznam zápasů'!B69="","",'Seznam zápasů'!B69)</f>
        <v>So</v>
      </c>
      <c r="EZ5" s="39" t="str">
        <f>IF('Seznam zápasů'!D69="","",'Seznam zápasů'!D69)</f>
        <v>KP + kval. o NF</v>
      </c>
      <c r="FA5" s="39" t="str">
        <f>IF('Seznam zápasů'!E69="","",'Seznam zápasů'!E69)</f>
        <v>BK Brandýs</v>
      </c>
      <c r="FB5" s="45" t="str">
        <f>IF('Seznam zápasů'!F69="","",'Seznam zápasů'!F69)</f>
        <v>2x 015,060</v>
      </c>
      <c r="FC5" s="39" t="str">
        <f>IF('Seznam zápasů'!G69="","",'Seznam zápasů'!G69)</f>
        <v/>
      </c>
      <c r="FD5" s="39" t="str">
        <f>IF('Seznam zápasů'!H69="","",'Seznam zápasů'!H69)</f>
        <v/>
      </c>
      <c r="FE5" s="39" t="str">
        <f>IF('Seznam zápasů'!I69="","",'Seznam zápasů'!I69)</f>
        <v/>
      </c>
      <c r="FF5" s="39" t="str">
        <f ca="1">IF('Seznam zápasů'!J69="","",'Seznam zápasů'!J69)</f>
        <v>Nadcházející</v>
      </c>
      <c r="FG5" s="42">
        <f>IF('Seznam zápasů'!A122="","",'Seznam zápasů'!A122)</f>
        <v>46333</v>
      </c>
      <c r="FH5" s="39" t="str">
        <f>IF('Seznam zápasů'!B122="","",'Seznam zápasů'!B122)</f>
        <v>So</v>
      </c>
      <c r="FI5" s="39" t="str">
        <f>IF('Seznam zápasů'!D122="","",'Seznam zápasů'!D122)</f>
        <v>KP</v>
      </c>
      <c r="FJ5" s="39" t="str">
        <f>IF('Seznam zápasů'!E122="","",'Seznam zápasů'!E122)</f>
        <v>BC Slaný</v>
      </c>
      <c r="FK5" s="45" t="str">
        <f>IF('Seznam zápasů'!F122="","",'Seznam zápasů'!F122)</f>
        <v>2x 006,26</v>
      </c>
      <c r="FL5" s="39" t="str">
        <f>IF('Seznam zápasů'!G122="","",'Seznam zápasů'!G122)</f>
        <v/>
      </c>
      <c r="FM5" s="39" t="str">
        <f>IF('Seznam zápasů'!H122="","",'Seznam zápasů'!H122)</f>
        <v/>
      </c>
      <c r="FN5" s="39" t="str">
        <f>IF('Seznam zápasů'!I122="","",'Seznam zápasů'!I122)</f>
        <v/>
      </c>
      <c r="FO5" s="39" t="str">
        <f ca="1">IF('Seznam zápasů'!J122="","",'Seznam zápasů'!J122)</f>
        <v>Nadcházející</v>
      </c>
      <c r="FP5" s="42">
        <f>IF('Seznam zápasů'!A24="","",'Seznam zápasů'!A24)</f>
        <v>46285</v>
      </c>
      <c r="FQ5" s="39" t="str">
        <f>IF('Seznam zápasů'!B24="","",'Seznam zápasů'!B24)</f>
        <v>Ne</v>
      </c>
      <c r="FR5" s="39" t="str">
        <f>IF('Seznam zápasů'!D24="","",'Seznam zápasů'!D24)</f>
        <v>KP + kval. o NF</v>
      </c>
      <c r="FS5" s="39" t="str">
        <f>IF('Seznam zápasů'!E24="","",'Seznam zápasů'!E24)</f>
        <v>BC Slaný</v>
      </c>
      <c r="FT5" s="45" t="str">
        <f>IF('Seznam zápasů'!F24="","",'Seznam zápasů'!F24)</f>
        <v>030</v>
      </c>
      <c r="FU5" s="39" t="str">
        <f>IF('Seznam zápasů'!G24="","",'Seznam zápasů'!G24)</f>
        <v/>
      </c>
      <c r="FV5" s="39" t="str">
        <f>IF('Seznam zápasů'!H24="","",'Seznam zápasů'!H24)</f>
        <v/>
      </c>
      <c r="FW5" s="39" t="str">
        <f>IF('Seznam zápasů'!I24="","",'Seznam zápasů'!I24)</f>
        <v/>
      </c>
      <c r="FX5" s="39" t="str">
        <f ca="1">IF('Seznam zápasů'!J24="","",'Seznam zápasů'!J24)</f>
        <v>Nadcházející</v>
      </c>
      <c r="FY5" s="42">
        <f>IF('Seznam zápasů'!A88="","",'Seznam zápasů'!A88)</f>
        <v>46312</v>
      </c>
      <c r="FZ5" s="39" t="str">
        <f>IF('Seznam zápasů'!B88="","",'Seznam zápasů'!B88)</f>
        <v>So</v>
      </c>
      <c r="GA5" s="39" t="str">
        <f>IF('Seznam zápasů'!D88="","",'Seznam zápasů'!D88)</f>
        <v>KP + kval. o NF</v>
      </c>
      <c r="GB5" s="39" t="str">
        <f>IF('Seznam zápasů'!E88="","",'Seznam zápasů'!E88)</f>
        <v>BC Slaný</v>
      </c>
      <c r="GC5" s="45" t="str">
        <f>IF('Seznam zápasů'!F88="","",'Seznam zápasů'!F88)</f>
        <v>2x 012,040</v>
      </c>
      <c r="GD5" s="39" t="str">
        <f>IF('Seznam zápasů'!G88="","",'Seznam zápasů'!G88)</f>
        <v/>
      </c>
      <c r="GE5" s="39" t="str">
        <f>IF('Seznam zápasů'!H88="","",'Seznam zápasů'!H88)</f>
        <v/>
      </c>
      <c r="GF5" s="39" t="str">
        <f>IF('Seznam zápasů'!I88="","",'Seznam zápasů'!I88)</f>
        <v/>
      </c>
      <c r="GG5" s="39" t="str">
        <f ca="1">IF('Seznam zápasů'!J88="","",'Seznam zápasů'!J88)</f>
        <v>Nadcházející</v>
      </c>
      <c r="GH5" s="42">
        <f>IF('Seznam zápasů'!A107="","",'Seznam zápasů'!A107)</f>
        <v>46319</v>
      </c>
      <c r="GI5" s="39" t="str">
        <f>IF('Seznam zápasů'!B107="","",'Seznam zápasů'!B107)</f>
        <v>So</v>
      </c>
      <c r="GJ5" s="39" t="str">
        <f>IF('Seznam zápasů'!D107="","",'Seznam zápasů'!D107)</f>
        <v>KP + kval. o NF</v>
      </c>
      <c r="GK5" s="39" t="str">
        <f>IF('Seznam zápasů'!E107="","",'Seznam zápasů'!E107)</f>
        <v>BK Brandýs nad Labem</v>
      </c>
      <c r="GL5" s="45" t="str">
        <f>IF('Seznam zápasů'!F107="","",'Seznam zápasů'!F107)</f>
        <v>2x 008,027</v>
      </c>
      <c r="GM5" s="39" t="str">
        <f>IF('Seznam zápasů'!G107="","",'Seznam zápasů'!G107)</f>
        <v/>
      </c>
      <c r="GN5" s="39" t="str">
        <f>IF('Seznam zápasů'!H107="","",'Seznam zápasů'!H107)</f>
        <v/>
      </c>
      <c r="GO5" s="39" t="str">
        <f>IF('Seznam zápasů'!I107="","",'Seznam zápasů'!I107)</f>
        <v/>
      </c>
      <c r="GP5" s="39" t="str">
        <f ca="1">IF('Seznam zápasů'!J107="","",'Seznam zápasů'!J107)</f>
        <v>Nadcházející</v>
      </c>
      <c r="GQ5" s="42">
        <f>IF('Seznam zápasů'!A158="","",'Seznam zápasů'!A158)</f>
        <v>46347</v>
      </c>
      <c r="GR5" s="39" t="str">
        <f>IF('Seznam zápasů'!B158="","",'Seznam zápasů'!B158)</f>
        <v>So</v>
      </c>
      <c r="GS5" s="39" t="str">
        <f>IF('Seznam zápasů'!D158="","",'Seznam zápasů'!D158)</f>
        <v>KP</v>
      </c>
      <c r="GT5" s="39" t="str">
        <f>IF('Seznam zápasů'!E158="","",'Seznam zápasů'!E158)</f>
        <v>BK Mělník</v>
      </c>
      <c r="GU5" s="45" t="str">
        <f>IF('Seznam zápasů'!F158="","",'Seznam zápasů'!F158)</f>
        <v>2x 008,028</v>
      </c>
      <c r="GV5" s="39" t="str">
        <f>IF('Seznam zápasů'!G158="","",'Seznam zápasů'!G158)</f>
        <v/>
      </c>
      <c r="GW5" s="39" t="str">
        <f>IF('Seznam zápasů'!H158="","",'Seznam zápasů'!H158)</f>
        <v/>
      </c>
      <c r="GX5" s="39" t="str">
        <f>IF('Seznam zápasů'!I158="","",'Seznam zápasů'!I158)</f>
        <v/>
      </c>
      <c r="GY5" s="39" t="str">
        <f ca="1">IF('Seznam zápasů'!J158="","",'Seznam zápasů'!J158)</f>
        <v>Nadcházející</v>
      </c>
    </row>
    <row r="6" spans="1:216" x14ac:dyDescent="0.2">
      <c r="A6" s="42">
        <f>IF('Seznam zápasů'!A62="","",'Seznam zápasů'!A62)</f>
        <v>46299</v>
      </c>
      <c r="B6" s="39" t="str">
        <f>IF('Seznam zápasů'!B62="","",'Seznam zápasů'!B62)</f>
        <v>Ne</v>
      </c>
      <c r="C6" s="39" t="str">
        <f>IF('Seznam zápasů'!D62="","",'Seznam zápasů'!D62)</f>
        <v>SBLM</v>
      </c>
      <c r="D6" s="39" t="str">
        <f>IF('Seznam zápasů'!E62="","",'Seznam zápasů'!E62)</f>
        <v>AŠ Mladá Boleslav</v>
      </c>
      <c r="E6" s="45" t="str">
        <f>IF('Seznam zápasů'!F62="","",'Seznam zápasů'!F62)</f>
        <v>018</v>
      </c>
      <c r="F6" s="39" t="str">
        <f>IF('Seznam zápasů'!G62="","",'Seznam zápasů'!G62)</f>
        <v/>
      </c>
      <c r="G6" s="39" t="str">
        <f>IF('Seznam zápasů'!H62="","",'Seznam zápasů'!H62)</f>
        <v/>
      </c>
      <c r="H6" s="39" t="str">
        <f>IF('Seznam zápasů'!I62="","",'Seznam zápasů'!I62)</f>
        <v/>
      </c>
      <c r="I6" s="39" t="str">
        <f ca="1">IF('Seznam zápasů'!J62="","",'Seznam zápasů'!J62)</f>
        <v>Nadcházející</v>
      </c>
      <c r="J6" s="42">
        <f>IF('Seznam zápasů'!A109="","",'Seznam zápasů'!A109)</f>
        <v>46319</v>
      </c>
      <c r="K6" s="39" t="str">
        <f>IF('Seznam zápasů'!B109="","",'Seznam zápasů'!B109)</f>
        <v>So</v>
      </c>
      <c r="L6" s="39" t="str">
        <f>IF('Seznam zápasů'!D109="","",'Seznam zápasů'!D109)</f>
        <v>KP</v>
      </c>
      <c r="M6" s="39" t="str">
        <f>IF('Seznam zápasů'!E109="","",'Seznam zápasů'!E109)</f>
        <v>BK Sadská</v>
      </c>
      <c r="N6" s="45" t="str">
        <f>IF('Seznam zápasů'!F109="","",'Seznam zápasů'!F109)</f>
        <v>016</v>
      </c>
      <c r="O6" s="39" t="str">
        <f>IF('Seznam zápasů'!G109="","",'Seznam zápasů'!G109)</f>
        <v/>
      </c>
      <c r="P6" s="39" t="str">
        <f>IF('Seznam zápasů'!H109="","",'Seznam zápasů'!H109)</f>
        <v/>
      </c>
      <c r="Q6" s="39" t="str">
        <f>IF('Seznam zápasů'!I109="","",'Seznam zápasů'!I109)</f>
        <v/>
      </c>
      <c r="R6" s="39" t="str">
        <f ca="1">IF('Seznam zápasů'!J109="","",'Seznam zápasů'!J109)</f>
        <v>Nadcházející</v>
      </c>
      <c r="S6" s="42">
        <f>IF('Seznam zápasů'!A65="","",'Seznam zápasů'!A65)</f>
        <v>46299</v>
      </c>
      <c r="T6" s="39" t="str">
        <f>IF('Seznam zápasů'!B65="","",'Seznam zápasů'!B65)</f>
        <v>Ne</v>
      </c>
      <c r="U6" s="39" t="str">
        <f>IF('Seznam zápasů'!D65="","",'Seznam zápasů'!D65)</f>
        <v>II. Liga</v>
      </c>
      <c r="V6" s="39" t="str">
        <f>IF('Seznam zápasů'!E65="","",'Seznam zápasů'!E65)</f>
        <v>Sokol Kladno</v>
      </c>
      <c r="W6" s="45" t="str">
        <f>IF('Seznam zápasů'!F65="","",'Seznam zápasů'!F65)</f>
        <v>018</v>
      </c>
      <c r="X6" s="39" t="str">
        <f>IF('Seznam zápasů'!G65="","",'Seznam zápasů'!G65)</f>
        <v/>
      </c>
      <c r="Y6" s="39" t="str">
        <f>IF('Seznam zápasů'!H65="","",'Seznam zápasů'!H65)</f>
        <v/>
      </c>
      <c r="Z6" s="39" t="str">
        <f>IF('Seznam zápasů'!I65="","",'Seznam zápasů'!I65)</f>
        <v/>
      </c>
      <c r="AA6" s="39" t="str">
        <f ca="1">IF('Seznam zápasů'!J65="","",'Seznam zápasů'!J65)</f>
        <v>Nadcházející</v>
      </c>
      <c r="AB6" s="42">
        <f>IF('Seznam zápasů'!A94="","",'Seznam zápasů'!A94)</f>
        <v>46312</v>
      </c>
      <c r="AC6" s="39" t="str">
        <f>IF('Seznam zápasů'!B94="","",'Seznam zápasů'!B94)</f>
        <v>So</v>
      </c>
      <c r="AD6" s="39" t="str">
        <f>IF('Seznam zápasů'!D94="","",'Seznam zápasů'!D94)</f>
        <v>SBLŽ</v>
      </c>
      <c r="AE6" s="39" t="str">
        <f>IF('Seznam zápasů'!E94="","",'Seznam zápasů'!E94)</f>
        <v>BK Brandýs "B"</v>
      </c>
      <c r="AF6" s="45" t="str">
        <f>IF('Seznam zápasů'!F94="","",'Seznam zápasů'!F94)</f>
        <v>017</v>
      </c>
      <c r="AG6" s="39" t="str">
        <f>IF('Seznam zápasů'!G94="","",'Seznam zápasů'!G94)</f>
        <v/>
      </c>
      <c r="AH6" s="39" t="str">
        <f>IF('Seznam zápasů'!H94="","",'Seznam zápasů'!H94)</f>
        <v/>
      </c>
      <c r="AI6" s="39" t="str">
        <f>IF('Seznam zápasů'!I94="","",'Seznam zápasů'!I94)</f>
        <v/>
      </c>
      <c r="AJ6" s="39" t="str">
        <f ca="1">IF('Seznam zápasů'!J94="","",'Seznam zápasů'!J94)</f>
        <v>Nadcházející</v>
      </c>
      <c r="AK6" s="42">
        <f>IF('Seznam zápasů'!A95="","",'Seznam zápasů'!A95)</f>
        <v>46312</v>
      </c>
      <c r="AL6" s="39" t="str">
        <f>IF('Seznam zápasů'!B95="","",'Seznam zápasů'!B95)</f>
        <v>So</v>
      </c>
      <c r="AM6" s="39" t="str">
        <f>IF('Seznam zápasů'!D95="","",'Seznam zápasů'!D95)</f>
        <v>SBLŽ</v>
      </c>
      <c r="AN6" s="39" t="str">
        <f>IF('Seznam zápasů'!E95="","",'Seznam zápasů'!E95)</f>
        <v>Slavoj Český Brod</v>
      </c>
      <c r="AO6" s="45" t="str">
        <f>IF('Seznam zápasů'!F95="","",'Seznam zápasů'!F95)</f>
        <v>018</v>
      </c>
      <c r="AP6" s="39" t="str">
        <f>IF('Seznam zápasů'!G95="","",'Seznam zápasů'!G95)</f>
        <v/>
      </c>
      <c r="AQ6" s="39" t="str">
        <f>IF('Seznam zápasů'!H95="","",'Seznam zápasů'!H95)</f>
        <v/>
      </c>
      <c r="AR6" s="39" t="str">
        <f>IF('Seznam zápasů'!I95="","",'Seznam zápasů'!I95)</f>
        <v/>
      </c>
      <c r="AS6" s="39" t="str">
        <f ca="1">IF('Seznam zápasů'!J95="","",'Seznam zápasů'!J95)</f>
        <v>Nadcházející</v>
      </c>
      <c r="AT6" s="42">
        <f>IF('Seznam zápasů'!A76="","",'Seznam zápasů'!A76)</f>
        <v>46306</v>
      </c>
      <c r="AU6" s="39" t="str">
        <f>IF('Seznam zápasů'!B76="","",'Seznam zápasů'!B76)</f>
        <v>Ne</v>
      </c>
      <c r="AV6" s="39" t="str">
        <f>IF('Seznam zápasů'!D76="","",'Seznam zápasů'!D76)</f>
        <v>NRL</v>
      </c>
      <c r="AW6" s="39" t="str">
        <f>IF('Seznam zápasů'!E76="","",'Seznam zápasů'!E76)</f>
        <v>BK Příbram 2000</v>
      </c>
      <c r="AX6" s="45" t="str">
        <f>IF('Seznam zápasů'!F76="","",'Seznam zápasů'!F76)</f>
        <v>19235</v>
      </c>
      <c r="AY6" s="39" t="str">
        <f>IF('Seznam zápasů'!G76="","",'Seznam zápasů'!G76)</f>
        <v/>
      </c>
      <c r="AZ6" s="39" t="str">
        <f>IF('Seznam zápasů'!H76="","",'Seznam zápasů'!H76)</f>
        <v/>
      </c>
      <c r="BA6" s="39" t="str">
        <f>IF('Seznam zápasů'!I76="","",'Seznam zápasů'!I76)</f>
        <v/>
      </c>
      <c r="BB6" s="39" t="str">
        <f ca="1">IF('Seznam zápasů'!J76="","",'Seznam zápasů'!J76)</f>
        <v>Nadcházející</v>
      </c>
      <c r="BC6" s="42">
        <f>IF('Seznam zápasů'!A59="","",'Seznam zápasů'!A59)</f>
        <v>46299</v>
      </c>
      <c r="BD6" s="39" t="str">
        <f>IF('Seznam zápasů'!B59="","",'Seznam zápasů'!B59)</f>
        <v>Ne</v>
      </c>
      <c r="BE6" s="39" t="str">
        <f>IF('Seznam zápasů'!D59="","",'Seznam zápasů'!D59)</f>
        <v>nadreg. liga</v>
      </c>
      <c r="BF6" s="39" t="str">
        <f>IF('Seznam zápasů'!E59="","",'Seznam zápasů'!E59)</f>
        <v>AŠ Mladá Boleslav</v>
      </c>
      <c r="BG6" s="45" t="str">
        <f>IF('Seznam zápasů'!F59="","",'Seznam zápasů'!F59)</f>
        <v>17131</v>
      </c>
      <c r="BH6" s="39" t="str">
        <f>IF('Seznam zápasů'!G59="","",'Seznam zápasů'!G59)</f>
        <v/>
      </c>
      <c r="BI6" s="39" t="str">
        <f>IF('Seznam zápasů'!H59="","",'Seznam zápasů'!H59)</f>
        <v/>
      </c>
      <c r="BJ6" s="39" t="str">
        <f>IF('Seznam zápasů'!I59="","",'Seznam zápasů'!I59)</f>
        <v/>
      </c>
      <c r="BK6" s="39" t="str">
        <f ca="1">IF('Seznam zápasů'!J59="","",'Seznam zápasů'!J59)</f>
        <v>Nadcházející</v>
      </c>
      <c r="BL6" s="42">
        <f>IF('Seznam zápasů'!A60="","",'Seznam zápasů'!A60)</f>
        <v>46299</v>
      </c>
      <c r="BM6" s="39" t="str">
        <f>IF('Seznam zápasů'!B60="","",'Seznam zápasů'!B60)</f>
        <v>Ne</v>
      </c>
      <c r="BN6" s="39" t="str">
        <f>IF('Seznam zápasů'!D60="","",'Seznam zápasů'!D60)</f>
        <v>celostátní liga</v>
      </c>
      <c r="BO6" s="39" t="str">
        <f>IF('Seznam zápasů'!E60="","",'Seznam zápasů'!E60)</f>
        <v>TJ AŠ Mladá Boleslav</v>
      </c>
      <c r="BP6" s="45" t="str">
        <f>IF('Seznam zápasů'!F60="","",'Seznam zápasů'!F60)</f>
        <v>075</v>
      </c>
      <c r="BQ6" s="39" t="str">
        <f>IF('Seznam zápasů'!G60="","",'Seznam zápasů'!G60)</f>
        <v/>
      </c>
      <c r="BR6" s="39" t="str">
        <f>IF('Seznam zápasů'!H60="","",'Seznam zápasů'!H60)</f>
        <v/>
      </c>
      <c r="BS6" s="39" t="str">
        <f>IF('Seznam zápasů'!I60="","",'Seznam zápasů'!I60)</f>
        <v/>
      </c>
      <c r="BT6" s="39" t="str">
        <f ca="1">IF('Seznam zápasů'!J60="","",'Seznam zápasů'!J60)</f>
        <v>Nadcházející</v>
      </c>
      <c r="BU6" s="42">
        <f>IF('Seznam zápasů'!A61="","",'Seznam zápasů'!A61)</f>
        <v>46299</v>
      </c>
      <c r="BV6" s="39" t="str">
        <f>IF('Seznam zápasů'!B61="","",'Seznam zápasů'!B61)</f>
        <v>Ne</v>
      </c>
      <c r="BW6" s="39" t="str">
        <f>IF('Seznam zápasů'!D61="","",'Seznam zápasů'!D61)</f>
        <v>nadreg. liga</v>
      </c>
      <c r="BX6" s="39" t="str">
        <f>IF('Seznam zápasů'!E61="","",'Seznam zápasů'!E61)</f>
        <v>Sokol Nusle B</v>
      </c>
      <c r="BY6" s="45" t="str">
        <f>IF('Seznam zápasů'!F61="","",'Seznam zápasů'!F61)</f>
        <v>17553</v>
      </c>
      <c r="BZ6" s="39" t="str">
        <f>IF('Seznam zápasů'!G61="","",'Seznam zápasů'!G61)</f>
        <v/>
      </c>
      <c r="CA6" s="39" t="str">
        <f>IF('Seznam zápasů'!H61="","",'Seznam zápasů'!H61)</f>
        <v/>
      </c>
      <c r="CB6" s="39" t="str">
        <f>IF('Seznam zápasů'!I61="","",'Seznam zápasů'!I61)</f>
        <v/>
      </c>
      <c r="CC6" s="39" t="str">
        <f ca="1">IF('Seznam zápasů'!J61="","",'Seznam zápasů'!J61)</f>
        <v>Nadcházející</v>
      </c>
      <c r="CD6" s="42">
        <f>IF('Seznam zápasů'!A79="","",'Seznam zápasů'!A79)</f>
        <v>46306</v>
      </c>
      <c r="CE6" s="39" t="str">
        <f>IF('Seznam zápasů'!B79="","",'Seznam zápasů'!B79)</f>
        <v>Ne</v>
      </c>
      <c r="CF6" s="39" t="str">
        <f>IF('Seznam zápasů'!D79="","",'Seznam zápasů'!D79)</f>
        <v>žákovská liga</v>
      </c>
      <c r="CG6" s="39" t="str">
        <f>IF('Seznam zápasů'!E79="","",'Seznam zápasů'!E79)</f>
        <v>TJ Sokol Kbely</v>
      </c>
      <c r="CH6" s="45" t="str">
        <f>IF('Seznam zápasů'!F79="","",'Seznam zápasů'!F79)</f>
        <v>020</v>
      </c>
      <c r="CI6" s="39" t="str">
        <f>IF('Seznam zápasů'!G79="","",'Seznam zápasů'!G79)</f>
        <v/>
      </c>
      <c r="CJ6" s="39" t="str">
        <f>IF('Seznam zápasů'!H79="","",'Seznam zápasů'!H79)</f>
        <v/>
      </c>
      <c r="CK6" s="39" t="str">
        <f>IF('Seznam zápasů'!I79="","",'Seznam zápasů'!I79)</f>
        <v/>
      </c>
      <c r="CL6" s="39" t="str">
        <f ca="1">IF('Seznam zápasů'!J79="","",'Seznam zápasů'!J79)</f>
        <v>Nadcházející</v>
      </c>
      <c r="CM6" s="42">
        <f>IF('Seznam zápasů'!A80="","",'Seznam zápasů'!A80)</f>
        <v>46306</v>
      </c>
      <c r="CN6" s="39" t="str">
        <f>IF('Seznam zápasů'!B80="","",'Seznam zápasů'!B80)</f>
        <v>Ne</v>
      </c>
      <c r="CO6" s="39" t="str">
        <f>IF('Seznam zápasů'!D80="","",'Seznam zápasů'!D80)</f>
        <v>žákovská liga</v>
      </c>
      <c r="CP6" s="39" t="str">
        <f>IF('Seznam zápasů'!E80="","",'Seznam zápasů'!E80)</f>
        <v>BK Strakonice</v>
      </c>
      <c r="CQ6" s="45" t="str">
        <f>IF('Seznam zápasů'!F80="","",'Seznam zápasů'!F80)</f>
        <v>020</v>
      </c>
      <c r="CR6" s="39" t="str">
        <f>IF('Seznam zápasů'!G80="","",'Seznam zápasů'!G80)</f>
        <v/>
      </c>
      <c r="CS6" s="39" t="str">
        <f>IF('Seznam zápasů'!H80="","",'Seznam zápasů'!H80)</f>
        <v/>
      </c>
      <c r="CT6" s="39" t="str">
        <f>IF('Seznam zápasů'!I80="","",'Seznam zápasů'!I80)</f>
        <v/>
      </c>
      <c r="CU6" s="39" t="str">
        <f ca="1">IF('Seznam zápasů'!J80="","",'Seznam zápasů'!J80)</f>
        <v>Nadcházející</v>
      </c>
      <c r="CV6" s="42">
        <f>IF('Seznam zápasů'!A81="","",'Seznam zápasů'!A81)</f>
        <v>46306</v>
      </c>
      <c r="CW6" s="39" t="str">
        <f>IF('Seznam zápasů'!B81="","",'Seznam zápasů'!B81)</f>
        <v>Ne</v>
      </c>
      <c r="CX6" s="39" t="str">
        <f>IF('Seznam zápasů'!D81="","",'Seznam zápasů'!D81)</f>
        <v>nadreg. Liga</v>
      </c>
      <c r="CY6" s="39" t="str">
        <f>IF('Seznam zápasů'!E81="","",'Seznam zápasů'!E81)</f>
        <v>Basketbal Újezd nad Lesy</v>
      </c>
      <c r="CZ6" s="45" t="str">
        <f>IF('Seznam zápasů'!F81="","",'Seznam zápasů'!F81)</f>
        <v>048</v>
      </c>
      <c r="DA6" s="39" t="str">
        <f>IF('Seznam zápasů'!G81="","",'Seznam zápasů'!G81)</f>
        <v/>
      </c>
      <c r="DB6" s="39" t="str">
        <f>IF('Seznam zápasů'!H81="","",'Seznam zápasů'!H81)</f>
        <v/>
      </c>
      <c r="DC6" s="39" t="str">
        <f>IF('Seznam zápasů'!I81="","",'Seznam zápasů'!I81)</f>
        <v/>
      </c>
      <c r="DD6" s="39" t="str">
        <f ca="1">IF('Seznam zápasů'!J81="","",'Seznam zápasů'!J81)</f>
        <v>Nadcházející</v>
      </c>
      <c r="DE6" s="42">
        <f>IF('Seznam zápasů'!A53="","",'Seznam zápasů'!A53)</f>
        <v>46298</v>
      </c>
      <c r="DF6" s="39" t="str">
        <f>IF('Seznam zápasů'!B53="","",'Seznam zápasů'!B53)</f>
        <v>So</v>
      </c>
      <c r="DG6" s="39" t="str">
        <f>IF('Seznam zápasů'!D53="","",'Seznam zápasů'!D53)</f>
        <v>žákovská liga</v>
      </c>
      <c r="DH6" s="39" t="str">
        <f>IF('Seznam zápasů'!E53="","",'Seznam zápasů'!E53)</f>
        <v>Slavia Tygři Praha B</v>
      </c>
      <c r="DI6" s="45" t="str">
        <f>IF('Seznam zápasů'!F53="","",'Seznam zápasů'!F53)</f>
        <v>102</v>
      </c>
      <c r="DJ6" s="39" t="str">
        <f>IF('Seznam zápasů'!G53="","",'Seznam zápasů'!G53)</f>
        <v/>
      </c>
      <c r="DK6" s="39" t="str">
        <f>IF('Seznam zápasů'!H53="","",'Seznam zápasů'!H53)</f>
        <v/>
      </c>
      <c r="DL6" s="39" t="str">
        <f>IF('Seznam zápasů'!I53="","",'Seznam zápasů'!I53)</f>
        <v/>
      </c>
      <c r="DM6" s="39" t="str">
        <f ca="1">IF('Seznam zápasů'!J53="","",'Seznam zápasů'!J53)</f>
        <v>Nadcházející</v>
      </c>
      <c r="DN6" s="42">
        <f>IF('Seznam zápasů'!A64="","",'Seznam zápasů'!A64)</f>
        <v>46299</v>
      </c>
      <c r="DO6" s="39" t="str">
        <f>IF('Seznam zápasů'!B64="","",'Seznam zápasů'!B64)</f>
        <v>Ne</v>
      </c>
      <c r="DP6" s="39" t="str">
        <f>IF('Seznam zápasů'!D64="","",'Seznam zápasů'!D64)</f>
        <v>žákovská liga</v>
      </c>
      <c r="DQ6" s="39" t="str">
        <f>IF('Seznam zápasů'!E64="","",'Seznam zápasů'!E64)</f>
        <v>Žabiny Brno B</v>
      </c>
      <c r="DR6" s="45" t="str">
        <f>IF('Seznam zápasů'!F64="","",'Seznam zápasů'!F64)</f>
        <v>130</v>
      </c>
      <c r="DS6" s="39" t="str">
        <f>IF('Seznam zápasů'!G64="","",'Seznam zápasů'!G64)</f>
        <v/>
      </c>
      <c r="DT6" s="39" t="str">
        <f>IF('Seznam zápasů'!H64="","",'Seznam zápasů'!H64)</f>
        <v/>
      </c>
      <c r="DU6" s="39" t="str">
        <f>IF('Seznam zápasů'!I64="","",'Seznam zápasů'!I64)</f>
        <v/>
      </c>
      <c r="DV6" s="39" t="str">
        <f ca="1">IF('Seznam zápasů'!J64="","",'Seznam zápasů'!J64)</f>
        <v>Nadcházející</v>
      </c>
      <c r="DW6" s="42">
        <f>IF('Seznam zápasů'!A101="","",'Seznam zápasů'!A101)</f>
        <v>46313</v>
      </c>
      <c r="DX6" s="39" t="str">
        <f>IF('Seznam zápasů'!B101="","",'Seznam zápasů'!B101)</f>
        <v>Ne</v>
      </c>
      <c r="DY6" s="39" t="str">
        <f>IF('Seznam zápasů'!D101="","",'Seznam zápasů'!D101)</f>
        <v>nadreg. liga</v>
      </c>
      <c r="DZ6" s="39" t="str">
        <f>IF('Seznam zápasů'!E101="","",'Seznam zápasů'!E101)</f>
        <v>Tygři Praha B</v>
      </c>
      <c r="EA6" s="45" t="str">
        <f>IF('Seznam zápasů'!F101="","",'Seznam zápasů'!F101)</f>
        <v>015</v>
      </c>
      <c r="EB6" s="39" t="str">
        <f>IF('Seznam zápasů'!G101="","",'Seznam zápasů'!G101)</f>
        <v/>
      </c>
      <c r="EC6" s="39" t="str">
        <f>IF('Seznam zápasů'!H101="","",'Seznam zápasů'!H101)</f>
        <v/>
      </c>
      <c r="ED6" s="39" t="str">
        <f>IF('Seznam zápasů'!I101="","",'Seznam zápasů'!I101)</f>
        <v/>
      </c>
      <c r="EE6" s="39" t="str">
        <f ca="1">IF('Seznam zápasů'!J101="","",'Seznam zápasů'!J101)</f>
        <v>Nadcházející</v>
      </c>
      <c r="EF6" s="42">
        <f>IF('Seznam zápasů'!A70="","",'Seznam zápasů'!A70)</f>
        <v>46305</v>
      </c>
      <c r="EG6" s="39" t="str">
        <f>IF('Seznam zápasů'!B70="","",'Seznam zápasů'!B70)</f>
        <v>So</v>
      </c>
      <c r="EH6" s="39" t="str">
        <f>IF('Seznam zápasů'!D70="","",'Seznam zápasů'!D70)</f>
        <v>KP + kval. o NF</v>
      </c>
      <c r="EI6" s="39" t="str">
        <f>IF('Seznam zápasů'!E70="","",'Seznam zápasů'!E70)</f>
        <v>Basket Poděbrady</v>
      </c>
      <c r="EJ6" s="45" t="str">
        <f>IF('Seznam zápasů'!F70="","",'Seznam zápasů'!F70)</f>
        <v>008</v>
      </c>
      <c r="EK6" s="39" t="str">
        <f>IF('Seznam zápasů'!G70="","",'Seznam zápasů'!G70)</f>
        <v/>
      </c>
      <c r="EL6" s="39" t="str">
        <f>IF('Seznam zápasů'!H70="","",'Seznam zápasů'!H70)</f>
        <v/>
      </c>
      <c r="EM6" s="39" t="str">
        <f>IF('Seznam zápasů'!I70="","",'Seznam zápasů'!I70)</f>
        <v/>
      </c>
      <c r="EN6" s="39" t="str">
        <f ca="1">IF('Seznam zápasů'!J70="","",'Seznam zápasů'!J70)</f>
        <v>Nadcházející</v>
      </c>
      <c r="EO6" s="42">
        <f>IF('Seznam zápasů'!A123="","",'Seznam zápasů'!A123)</f>
        <v>46333</v>
      </c>
      <c r="EP6" s="39" t="str">
        <f>IF('Seznam zápasů'!B123="","",'Seznam zápasů'!B123)</f>
        <v>So</v>
      </c>
      <c r="EQ6" s="39" t="str">
        <f>IF('Seznam zápasů'!D123="","",'Seznam zápasů'!D123)</f>
        <v>KP + kval. o NF</v>
      </c>
      <c r="ER6" s="39" t="str">
        <f>IF('Seznam zápasů'!E123="","",'Seznam zápasů'!E123)</f>
        <v>BK Beroun</v>
      </c>
      <c r="ES6" s="45" t="str">
        <f>IF('Seznam zápasů'!F123="","",'Seznam zápasů'!F123)</f>
        <v>2x 014, 050</v>
      </c>
      <c r="ET6" s="39" t="str">
        <f>IF('Seznam zápasů'!G123="","",'Seznam zápasů'!G123)</f>
        <v/>
      </c>
      <c r="EU6" s="39" t="str">
        <f>IF('Seznam zápasů'!H123="","",'Seznam zápasů'!H123)</f>
        <v/>
      </c>
      <c r="EV6" s="39" t="str">
        <f>IF('Seznam zápasů'!I123="","",'Seznam zápasů'!I123)</f>
        <v/>
      </c>
      <c r="EW6" s="39" t="str">
        <f ca="1">IF('Seznam zápasů'!J123="","",'Seznam zápasů'!J123)</f>
        <v>Nadcházející</v>
      </c>
      <c r="EX6" s="42">
        <f>IF('Seznam zápasů'!A106="","",'Seznam zápasů'!A106)</f>
        <v>46319</v>
      </c>
      <c r="EY6" s="39" t="str">
        <f>IF('Seznam zápasů'!B106="","",'Seznam zápasů'!B106)</f>
        <v>So</v>
      </c>
      <c r="EZ6" s="39" t="str">
        <f>IF('Seznam zápasů'!D106="","",'Seznam zápasů'!D106)</f>
        <v>KP + kval. o NF</v>
      </c>
      <c r="FA6" s="39" t="str">
        <f>IF('Seznam zápasů'!E106="","",'Seznam zápasů'!E106)</f>
        <v>Pandy Čelákovice</v>
      </c>
      <c r="FB6" s="45" t="str">
        <f>IF('Seznam zápasů'!F106="","",'Seznam zápasů'!F106)</f>
        <v>2x 016, 061</v>
      </c>
      <c r="FC6" s="39" t="str">
        <f>IF('Seznam zápasů'!G106="","",'Seznam zápasů'!G106)</f>
        <v/>
      </c>
      <c r="FD6" s="39" t="str">
        <f>IF('Seznam zápasů'!H106="","",'Seznam zápasů'!H106)</f>
        <v/>
      </c>
      <c r="FE6" s="39" t="str">
        <f>IF('Seznam zápasů'!I106="","",'Seznam zápasů'!I106)</f>
        <v/>
      </c>
      <c r="FF6" s="39" t="str">
        <f ca="1">IF('Seznam zápasů'!J106="","",'Seznam zápasů'!J106)</f>
        <v>Nadcházející</v>
      </c>
      <c r="FG6" s="42">
        <f>IF('Seznam zápasů'!A195="","",'Seznam zápasů'!A195)</f>
        <v>46368</v>
      </c>
      <c r="FH6" s="39" t="str">
        <f>IF('Seznam zápasů'!B195="","",'Seznam zápasů'!B195)</f>
        <v>So</v>
      </c>
      <c r="FI6" s="39" t="str">
        <f>IF('Seznam zápasů'!D195="","",'Seznam zápasů'!D195)</f>
        <v>KP</v>
      </c>
      <c r="FJ6" s="39" t="str">
        <f>IF('Seznam zápasů'!E195="","",'Seznam zápasů'!E195)</f>
        <v>TJ AŠ Mladá Boleslav</v>
      </c>
      <c r="FK6" s="45" t="str">
        <f>IF('Seznam zápasů'!F195="","",'Seznam zápasů'!F195)</f>
        <v>2x 010,030</v>
      </c>
      <c r="FL6" s="39" t="str">
        <f>IF('Seznam zápasů'!G195="","",'Seznam zápasů'!G195)</f>
        <v/>
      </c>
      <c r="FM6" s="39" t="str">
        <f>IF('Seznam zápasů'!H195="","",'Seznam zápasů'!H195)</f>
        <v/>
      </c>
      <c r="FN6" s="39" t="str">
        <f>IF('Seznam zápasů'!I195="","",'Seznam zápasů'!I195)</f>
        <v/>
      </c>
      <c r="FO6" s="39" t="str">
        <f ca="1">IF('Seznam zápasů'!J195="","",'Seznam zápasů'!J195)</f>
        <v>Nadcházející</v>
      </c>
      <c r="FP6" s="42">
        <f>IF('Seznam zápasů'!A34="","",'Seznam zápasů'!A34)</f>
        <v>46291</v>
      </c>
      <c r="FQ6" s="39" t="str">
        <f>IF('Seznam zápasů'!B34="","",'Seznam zápasů'!B34)</f>
        <v>So</v>
      </c>
      <c r="FR6" s="39" t="str">
        <f>IF('Seznam zápasů'!D34="","",'Seznam zápasů'!D34)</f>
        <v>KP + kval. o NF</v>
      </c>
      <c r="FS6" s="39" t="str">
        <f>IF('Seznam zápasů'!E34="","",'Seznam zápasů'!E34)</f>
        <v>TJ AŠ Mladá Boleslav</v>
      </c>
      <c r="FT6" s="45" t="str">
        <f>IF('Seznam zápasů'!F34="","",'Seznam zápasů'!F34)</f>
        <v>014</v>
      </c>
      <c r="FU6" s="39" t="str">
        <f>IF('Seznam zápasů'!G34="","",'Seznam zápasů'!G34)</f>
        <v/>
      </c>
      <c r="FV6" s="39" t="str">
        <f>IF('Seznam zápasů'!H34="","",'Seznam zápasů'!H34)</f>
        <v/>
      </c>
      <c r="FW6" s="39" t="str">
        <f>IF('Seznam zápasů'!I34="","",'Seznam zápasů'!I34)</f>
        <v/>
      </c>
      <c r="FX6" s="39" t="str">
        <f ca="1">IF('Seznam zápasů'!J34="","",'Seznam zápasů'!J34)</f>
        <v>Nadcházející</v>
      </c>
      <c r="FY6" s="42">
        <f>IF('Seznam zápasů'!A124="","",'Seznam zápasů'!A124)</f>
        <v>46333</v>
      </c>
      <c r="FZ6" s="39" t="str">
        <f>IF('Seznam zápasů'!B124="","",'Seznam zápasů'!B124)</f>
        <v>So</v>
      </c>
      <c r="GA6" s="39" t="str">
        <f>IF('Seznam zápasů'!D124="","",'Seznam zápasů'!D124)</f>
        <v>KP + kval. o NF</v>
      </c>
      <c r="GB6" s="39" t="str">
        <f>IF('Seznam zápasů'!E124="","",'Seznam zápasů'!E124)</f>
        <v>Sokol Nusle</v>
      </c>
      <c r="GC6" s="45" t="str">
        <f>IF('Seznam zápasů'!F124="","",'Seznam zápasů'!F124)</f>
        <v>2x 014,042</v>
      </c>
      <c r="GD6" s="39" t="str">
        <f>IF('Seznam zápasů'!G124="","",'Seznam zápasů'!G124)</f>
        <v/>
      </c>
      <c r="GE6" s="39" t="str">
        <f>IF('Seznam zápasů'!H124="","",'Seznam zápasů'!H124)</f>
        <v/>
      </c>
      <c r="GF6" s="39" t="str">
        <f>IF('Seznam zápasů'!I124="","",'Seznam zápasů'!I124)</f>
        <v/>
      </c>
      <c r="GG6" s="39" t="str">
        <f ca="1">IF('Seznam zápasů'!J124="","",'Seznam zápasů'!J124)</f>
        <v>Nadcházející</v>
      </c>
      <c r="GH6" s="42">
        <f>IF('Seznam zápasů'!A142="","",'Seznam zápasů'!A142)</f>
        <v>46340</v>
      </c>
      <c r="GI6" s="39" t="str">
        <f>IF('Seznam zápasů'!B142="","",'Seznam zápasů'!B142)</f>
        <v>So</v>
      </c>
      <c r="GJ6" s="39" t="str">
        <f>IF('Seznam zápasů'!D142="","",'Seznam zápasů'!D142)</f>
        <v>KP + kval. o NF</v>
      </c>
      <c r="GK6" s="39" t="str">
        <f>IF('Seznam zápasů'!E142="","",'Seznam zápasů'!E142)</f>
        <v>ŠBK Sadská</v>
      </c>
      <c r="GL6" s="45" t="str">
        <f>IF('Seznam zápasů'!F142="","",'Seznam zápasů'!F142)</f>
        <v>2x 012,033</v>
      </c>
      <c r="GM6" s="39" t="str">
        <f>IF('Seznam zápasů'!G142="","",'Seznam zápasů'!G142)</f>
        <v/>
      </c>
      <c r="GN6" s="39" t="str">
        <f>IF('Seznam zápasů'!H142="","",'Seznam zápasů'!H142)</f>
        <v/>
      </c>
      <c r="GO6" s="39" t="str">
        <f>IF('Seznam zápasů'!I142="","",'Seznam zápasů'!I142)</f>
        <v/>
      </c>
      <c r="GP6" s="39" t="str">
        <f ca="1">IF('Seznam zápasů'!J142="","",'Seznam zápasů'!J142)</f>
        <v>Nadcházející</v>
      </c>
      <c r="GQ6" s="42">
        <f>IF('Seznam zápasů'!A197="","",'Seznam zápasů'!A197)</f>
        <v>46368</v>
      </c>
      <c r="GR6" s="39" t="str">
        <f>IF('Seznam zápasů'!B197="","",'Seznam zápasů'!B197)</f>
        <v>So</v>
      </c>
      <c r="GS6" s="39" t="str">
        <f>IF('Seznam zápasů'!D197="","",'Seznam zápasů'!D197)</f>
        <v>KP</v>
      </c>
      <c r="GT6" s="39" t="str">
        <f>IF('Seznam zápasů'!E197="","",'Seznam zápasů'!E197)</f>
        <v>BC Slaný</v>
      </c>
      <c r="GU6" s="45" t="str">
        <f>IF('Seznam zápasů'!F197="","",'Seznam zápasů'!F197)</f>
        <v>2x 009,029</v>
      </c>
      <c r="GV6" s="39" t="str">
        <f>IF('Seznam zápasů'!G197="","",'Seznam zápasů'!G197)</f>
        <v/>
      </c>
      <c r="GW6" s="39" t="str">
        <f>IF('Seznam zápasů'!H197="","",'Seznam zápasů'!H197)</f>
        <v/>
      </c>
      <c r="GX6" s="39" t="str">
        <f>IF('Seznam zápasů'!I197="","",'Seznam zápasů'!I197)</f>
        <v/>
      </c>
      <c r="GY6" s="39" t="str">
        <f ca="1">IF('Seznam zápasů'!J197="","",'Seznam zápasů'!J197)</f>
        <v>Nadcházející</v>
      </c>
    </row>
    <row r="7" spans="1:216" x14ac:dyDescent="0.2">
      <c r="A7" s="42">
        <f>IF('Seznam zápasů'!A89="","",'Seznam zápasů'!A89)</f>
        <v>46312</v>
      </c>
      <c r="B7" s="39" t="str">
        <f>IF('Seznam zápasů'!B89="","",'Seznam zápasů'!B89)</f>
        <v>So</v>
      </c>
      <c r="C7" s="39" t="str">
        <f>IF('Seznam zápasů'!D89="","",'Seznam zápasů'!D89)</f>
        <v>SBLM</v>
      </c>
      <c r="D7" s="39" t="str">
        <f>IF('Seznam zápasů'!E89="","",'Seznam zápasů'!E89)</f>
        <v>Sokol Nové Strašecí</v>
      </c>
      <c r="E7" s="45" t="str">
        <f>IF('Seznam zápasů'!F89="","",'Seznam zápasů'!F89)</f>
        <v>028</v>
      </c>
      <c r="F7" s="39" t="str">
        <f>IF('Seznam zápasů'!G89="","",'Seznam zápasů'!G89)</f>
        <v/>
      </c>
      <c r="G7" s="39" t="str">
        <f>IF('Seznam zápasů'!H89="","",'Seznam zápasů'!H89)</f>
        <v/>
      </c>
      <c r="H7" s="39" t="str">
        <f>IF('Seznam zápasů'!I89="","",'Seznam zápasů'!I89)</f>
        <v/>
      </c>
      <c r="I7" s="39" t="str">
        <f ca="1">IF('Seznam zápasů'!J89="","",'Seznam zápasů'!J89)</f>
        <v>Nadcházející</v>
      </c>
      <c r="J7" s="42">
        <f>IF('Seznam zápasů'!A116="","",'Seznam zápasů'!A116)</f>
        <v>46320</v>
      </c>
      <c r="K7" s="39" t="str">
        <f>IF('Seznam zápasů'!B116="","",'Seznam zápasů'!B116)</f>
        <v>Ne</v>
      </c>
      <c r="L7" s="39" t="str">
        <f>IF('Seznam zápasů'!D116="","",'Seznam zápasů'!D116)</f>
        <v>KP</v>
      </c>
      <c r="M7" s="39" t="str">
        <f>IF('Seznam zápasů'!E116="","",'Seznam zápasů'!E116)</f>
        <v>TJ Sokol Nehvizdy</v>
      </c>
      <c r="N7" s="45" t="str">
        <f>IF('Seznam zápasů'!F116="","",'Seznam zápasů'!F116)</f>
        <v>020</v>
      </c>
      <c r="O7" s="39" t="str">
        <f>IF('Seznam zápasů'!G116="","",'Seznam zápasů'!G116)</f>
        <v/>
      </c>
      <c r="P7" s="39" t="str">
        <f>IF('Seznam zápasů'!H116="","",'Seznam zápasů'!H116)</f>
        <v/>
      </c>
      <c r="Q7" s="39" t="str">
        <f>IF('Seznam zápasů'!I116="","",'Seznam zápasů'!I116)</f>
        <v/>
      </c>
      <c r="R7" s="39" t="str">
        <f ca="1">IF('Seznam zápasů'!J116="","",'Seznam zápasů'!J116)</f>
        <v>Nadcházející</v>
      </c>
      <c r="S7" s="42">
        <f>IF('Seznam zápasů'!A93="","",'Seznam zápasů'!A93)</f>
        <v>46312</v>
      </c>
      <c r="T7" s="39" t="str">
        <f>IF('Seznam zápasů'!B93="","",'Seznam zápasů'!B93)</f>
        <v>So</v>
      </c>
      <c r="U7" s="39" t="str">
        <f>IF('Seznam zápasů'!D93="","",'Seznam zápasů'!D93)</f>
        <v>II. Liga</v>
      </c>
      <c r="V7" s="39" t="str">
        <f>IF('Seznam zápasů'!E93="","",'Seznam zápasů'!E93)</f>
        <v>DBaK</v>
      </c>
      <c r="W7" s="45" t="str">
        <f>IF('Seznam zápasů'!F93="","",'Seznam zápasů'!F93)</f>
        <v>022</v>
      </c>
      <c r="X7" s="39" t="str">
        <f>IF('Seznam zápasů'!G93="","",'Seznam zápasů'!G93)</f>
        <v/>
      </c>
      <c r="Y7" s="39" t="str">
        <f>IF('Seznam zápasů'!H93="","",'Seznam zápasů'!H93)</f>
        <v/>
      </c>
      <c r="Z7" s="39" t="str">
        <f>IF('Seznam zápasů'!I93="","",'Seznam zápasů'!I93)</f>
        <v/>
      </c>
      <c r="AA7" s="39" t="str">
        <f ca="1">IF('Seznam zápasů'!J93="","",'Seznam zápasů'!J93)</f>
        <v>Nadcházející</v>
      </c>
      <c r="AB7" s="42">
        <f>IF('Seznam zápasů'!A103="","",'Seznam zápasů'!A103)</f>
        <v>46313</v>
      </c>
      <c r="AC7" s="39" t="str">
        <f>IF('Seznam zápasů'!B103="","",'Seznam zápasů'!B103)</f>
        <v>Ne</v>
      </c>
      <c r="AD7" s="39" t="str">
        <f>IF('Seznam zápasů'!D103="","",'Seznam zápasů'!D103)</f>
        <v>SBLŽ</v>
      </c>
      <c r="AE7" s="39" t="str">
        <f>IF('Seznam zápasů'!E103="","",'Seznam zápasů'!E103)</f>
        <v>Slavoj Český Brod</v>
      </c>
      <c r="AF7" s="45" t="str">
        <f>IF('Seznam zápasů'!F103="","",'Seznam zápasů'!F103)</f>
        <v>020</v>
      </c>
      <c r="AG7" s="39" t="str">
        <f>IF('Seznam zápasů'!G103="","",'Seznam zápasů'!G103)</f>
        <v/>
      </c>
      <c r="AH7" s="39" t="str">
        <f>IF('Seznam zápasů'!H103="","",'Seznam zápasů'!H103)</f>
        <v/>
      </c>
      <c r="AI7" s="39" t="str">
        <f>IF('Seznam zápasů'!I103="","",'Seznam zápasů'!I103)</f>
        <v/>
      </c>
      <c r="AJ7" s="39" t="str">
        <f ca="1">IF('Seznam zápasů'!J103="","",'Seznam zápasů'!J103)</f>
        <v>Nadcházející</v>
      </c>
      <c r="AK7" s="42">
        <f>IF('Seznam zápasů'!A104="","",'Seznam zápasů'!A104)</f>
        <v>46313</v>
      </c>
      <c r="AL7" s="39" t="str">
        <f>IF('Seznam zápasů'!B104="","",'Seznam zápasů'!B104)</f>
        <v>Ne</v>
      </c>
      <c r="AM7" s="39" t="str">
        <f>IF('Seznam zápasů'!D104="","",'Seznam zápasů'!D104)</f>
        <v>SBLŽ</v>
      </c>
      <c r="AN7" s="39" t="str">
        <f>IF('Seznam zápasů'!E104="","",'Seznam zápasů'!E104)</f>
        <v>BK Brandýs "B"</v>
      </c>
      <c r="AO7" s="45" t="str">
        <f>IF('Seznam zápasů'!F104="","",'Seznam zápasů'!F104)</f>
        <v>021</v>
      </c>
      <c r="AP7" s="39" t="str">
        <f>IF('Seznam zápasů'!G104="","",'Seznam zápasů'!G104)</f>
        <v/>
      </c>
      <c r="AQ7" s="39" t="str">
        <f>IF('Seznam zápasů'!H104="","",'Seznam zápasů'!H104)</f>
        <v/>
      </c>
      <c r="AR7" s="39" t="str">
        <f>IF('Seznam zápasů'!I104="","",'Seznam zápasů'!I104)</f>
        <v/>
      </c>
      <c r="AS7" s="39" t="str">
        <f ca="1">IF('Seznam zápasů'!J104="","",'Seznam zápasů'!J104)</f>
        <v>Nadcházející</v>
      </c>
      <c r="AT7" s="42">
        <f>IF('Seznam zápasů'!A105="","",'Seznam zápasů'!A105)</f>
        <v>46319</v>
      </c>
      <c r="AU7" s="39" t="str">
        <f>IF('Seznam zápasů'!B105="","",'Seznam zápasů'!B105)</f>
        <v>So</v>
      </c>
      <c r="AV7" s="39" t="str">
        <f>IF('Seznam zápasů'!D105="","",'Seznam zápasů'!D105)</f>
        <v>NRL</v>
      </c>
      <c r="AW7" s="39" t="str">
        <f>IF('Seznam zápasů'!E105="","",'Seznam zápasů'!E105)</f>
        <v>BK Sojky Pelhřimov C</v>
      </c>
      <c r="AX7" s="45" t="str">
        <f>IF('Seznam zápasů'!F105="","",'Seznam zápasů'!F105)</f>
        <v>19239</v>
      </c>
      <c r="AY7" s="39" t="str">
        <f>IF('Seznam zápasů'!G105="","",'Seznam zápasů'!G105)</f>
        <v/>
      </c>
      <c r="AZ7" s="39" t="str">
        <f>IF('Seznam zápasů'!H105="","",'Seznam zápasů'!H105)</f>
        <v/>
      </c>
      <c r="BA7" s="39" t="str">
        <f>IF('Seznam zápasů'!I105="","",'Seznam zápasů'!I105)</f>
        <v/>
      </c>
      <c r="BB7" s="39" t="str">
        <f ca="1">IF('Seznam zápasů'!J105="","",'Seznam zápasů'!J105)</f>
        <v>Nadcházející</v>
      </c>
      <c r="BC7" s="42">
        <f>IF('Seznam zápasů'!A82="","",'Seznam zápasů'!A82)</f>
        <v>46312</v>
      </c>
      <c r="BD7" s="39" t="str">
        <f>IF('Seznam zápasů'!B82="","",'Seznam zápasů'!B82)</f>
        <v>So</v>
      </c>
      <c r="BE7" s="39" t="str">
        <f>IF('Seznam zápasů'!D82="","",'Seznam zápasů'!D82)</f>
        <v>nadreg. liga</v>
      </c>
      <c r="BF7" s="39" t="str">
        <f>IF('Seznam zápasů'!E82="","",'Seznam zápasů'!E82)</f>
        <v>Jižní Supi B</v>
      </c>
      <c r="BG7" s="45" t="str">
        <f>IF('Seznam zápasů'!F82="","",'Seznam zápasů'!F82)</f>
        <v>17140</v>
      </c>
      <c r="BH7" s="39" t="str">
        <f>IF('Seznam zápasů'!G82="","",'Seznam zápasů'!G82)</f>
        <v/>
      </c>
      <c r="BI7" s="39" t="str">
        <f>IF('Seznam zápasů'!H82="","",'Seznam zápasů'!H82)</f>
        <v/>
      </c>
      <c r="BJ7" s="39" t="str">
        <f>IF('Seznam zápasů'!I82="","",'Seznam zápasů'!I82)</f>
        <v/>
      </c>
      <c r="BK7" s="39" t="str">
        <f ca="1">IF('Seznam zápasů'!J82="","",'Seznam zápasů'!J82)</f>
        <v>Nadcházející</v>
      </c>
      <c r="BL7" s="42">
        <f>IF('Seznam zápasů'!A83="","",'Seznam zápasů'!A83)</f>
        <v>46312</v>
      </c>
      <c r="BM7" s="39" t="str">
        <f>IF('Seznam zápasů'!B83="","",'Seznam zápasů'!B83)</f>
        <v>So</v>
      </c>
      <c r="BN7" s="39" t="str">
        <f>IF('Seznam zápasů'!D83="","",'Seznam zápasů'!D83)</f>
        <v>celostátní liga</v>
      </c>
      <c r="BO7" s="39" t="str">
        <f>IF('Seznam zápasů'!E83="","",'Seznam zápasů'!E83)</f>
        <v>Studánka Pardubice</v>
      </c>
      <c r="BP7" s="45" t="str">
        <f>IF('Seznam zápasů'!F83="","",'Seznam zápasů'!F83)</f>
        <v>078</v>
      </c>
      <c r="BQ7" s="39" t="str">
        <f>IF('Seznam zápasů'!G83="","",'Seznam zápasů'!G83)</f>
        <v/>
      </c>
      <c r="BR7" s="39" t="str">
        <f>IF('Seznam zápasů'!H83="","",'Seznam zápasů'!H83)</f>
        <v/>
      </c>
      <c r="BS7" s="39" t="str">
        <f>IF('Seznam zápasů'!I83="","",'Seznam zápasů'!I83)</f>
        <v/>
      </c>
      <c r="BT7" s="39" t="str">
        <f ca="1">IF('Seznam zápasů'!J83="","",'Seznam zápasů'!J83)</f>
        <v>Nadcházející</v>
      </c>
      <c r="BU7" s="42">
        <f>IF('Seznam zápasů'!A84="","",'Seznam zápasů'!A84)</f>
        <v>46312</v>
      </c>
      <c r="BV7" s="39" t="str">
        <f>IF('Seznam zápasů'!B84="","",'Seznam zápasů'!B84)</f>
        <v>So</v>
      </c>
      <c r="BW7" s="39" t="str">
        <f>IF('Seznam zápasů'!D84="","",'Seznam zápasů'!D84)</f>
        <v>nadreg. liga</v>
      </c>
      <c r="BX7" s="39" t="str">
        <f>IF('Seznam zápasů'!E84="","",'Seznam zápasů'!E84)</f>
        <v>BCM Sokolov</v>
      </c>
      <c r="BY7" s="45" t="str">
        <f>IF('Seznam zápasů'!F84="","",'Seznam zápasů'!F84)</f>
        <v>17556</v>
      </c>
      <c r="BZ7" s="39" t="str">
        <f>IF('Seznam zápasů'!G84="","",'Seznam zápasů'!G84)</f>
        <v/>
      </c>
      <c r="CA7" s="39" t="str">
        <f>IF('Seznam zápasů'!H84="","",'Seznam zápasů'!H84)</f>
        <v/>
      </c>
      <c r="CB7" s="39" t="str">
        <f>IF('Seznam zápasů'!I84="","",'Seznam zápasů'!I84)</f>
        <v/>
      </c>
      <c r="CC7" s="39" t="str">
        <f ca="1">IF('Seznam zápasů'!J84="","",'Seznam zápasů'!J84)</f>
        <v>Nadcházející</v>
      </c>
      <c r="CD7" s="42">
        <f>IF('Seznam zápasů'!A110="","",'Seznam zápasů'!A110)</f>
        <v>46319</v>
      </c>
      <c r="CE7" s="39" t="str">
        <f>IF('Seznam zápasů'!B110="","",'Seznam zápasů'!B110)</f>
        <v>So</v>
      </c>
      <c r="CF7" s="39" t="str">
        <f>IF('Seznam zápasů'!D110="","",'Seznam zápasů'!D110)</f>
        <v>žákovská liga</v>
      </c>
      <c r="CG7" s="39" t="str">
        <f>IF('Seznam zápasů'!E110="","",'Seznam zápasů'!E110)</f>
        <v>BK Lokomotiva Plzeň</v>
      </c>
      <c r="CH7" s="45" t="str">
        <f>IF('Seznam zápasů'!F110="","",'Seznam zápasů'!F110)</f>
        <v>021</v>
      </c>
      <c r="CI7" s="39" t="str">
        <f>IF('Seznam zápasů'!G110="","",'Seznam zápasů'!G110)</f>
        <v/>
      </c>
      <c r="CJ7" s="39" t="str">
        <f>IF('Seznam zápasů'!H110="","",'Seznam zápasů'!H110)</f>
        <v/>
      </c>
      <c r="CK7" s="39" t="str">
        <f>IF('Seznam zápasů'!I110="","",'Seznam zápasů'!I110)</f>
        <v/>
      </c>
      <c r="CL7" s="39" t="str">
        <f ca="1">IF('Seznam zápasů'!J110="","",'Seznam zápasů'!J110)</f>
        <v>Nadcházející</v>
      </c>
      <c r="CM7" s="42">
        <f>IF('Seznam zápasů'!A111="","",'Seznam zápasů'!A111)</f>
        <v>46319</v>
      </c>
      <c r="CN7" s="39" t="str">
        <f>IF('Seznam zápasů'!B111="","",'Seznam zápasů'!B111)</f>
        <v>So</v>
      </c>
      <c r="CO7" s="39" t="str">
        <f>IF('Seznam zápasů'!D111="","",'Seznam zápasů'!D111)</f>
        <v>žákovská liga</v>
      </c>
      <c r="CP7" s="39" t="str">
        <f>IF('Seznam zápasů'!E111="","",'Seznam zápasů'!E111)</f>
        <v>SKB Rokycany</v>
      </c>
      <c r="CQ7" s="45" t="str">
        <f>IF('Seznam zápasů'!F111="","",'Seznam zápasů'!F111)</f>
        <v>024</v>
      </c>
      <c r="CR7" s="39" t="str">
        <f>IF('Seznam zápasů'!G111="","",'Seznam zápasů'!G111)</f>
        <v/>
      </c>
      <c r="CS7" s="39" t="str">
        <f>IF('Seznam zápasů'!H111="","",'Seznam zápasů'!H111)</f>
        <v/>
      </c>
      <c r="CT7" s="39" t="str">
        <f>IF('Seznam zápasů'!I111="","",'Seznam zápasů'!I111)</f>
        <v/>
      </c>
      <c r="CU7" s="39" t="str">
        <f ca="1">IF('Seznam zápasů'!J111="","",'Seznam zápasů'!J111)</f>
        <v>Nadcházející</v>
      </c>
      <c r="CV7" s="42">
        <f>IF('Seznam zápasů'!A112="","",'Seznam zápasů'!A112)</f>
        <v>46319</v>
      </c>
      <c r="CW7" s="39" t="str">
        <f>IF('Seznam zápasů'!B112="","",'Seznam zápasů'!B112)</f>
        <v>So</v>
      </c>
      <c r="CX7" s="39" t="str">
        <f>IF('Seznam zápasů'!D112="","",'Seznam zápasů'!D112)</f>
        <v>nadreg. Liga</v>
      </c>
      <c r="CY7" s="39" t="str">
        <f>IF('Seznam zápasů'!E112="","",'Seznam zápasů'!E112)</f>
        <v>BK Příbram 2000</v>
      </c>
      <c r="CZ7" s="45" t="str">
        <f>IF('Seznam zápasů'!F112="","",'Seznam zápasů'!F112)</f>
        <v>049</v>
      </c>
      <c r="DA7" s="39" t="str">
        <f>IF('Seznam zápasů'!G112="","",'Seznam zápasů'!G112)</f>
        <v/>
      </c>
      <c r="DB7" s="39" t="str">
        <f>IF('Seznam zápasů'!H112="","",'Seznam zápasů'!H112)</f>
        <v/>
      </c>
      <c r="DC7" s="39" t="str">
        <f>IF('Seznam zápasů'!I112="","",'Seznam zápasů'!I112)</f>
        <v/>
      </c>
      <c r="DD7" s="39" t="str">
        <f ca="1">IF('Seznam zápasů'!J112="","",'Seznam zápasů'!J112)</f>
        <v>Nadcházející</v>
      </c>
      <c r="DE7" s="42">
        <f>IF('Seznam zápasů'!A63="","",'Seznam zápasů'!A63)</f>
        <v>46299</v>
      </c>
      <c r="DF7" s="39" t="str">
        <f>IF('Seznam zápasů'!B63="","",'Seznam zápasů'!B63)</f>
        <v>Ne</v>
      </c>
      <c r="DG7" s="39" t="str">
        <f>IF('Seznam zápasů'!D63="","",'Seznam zápasů'!D63)</f>
        <v>žákovská liga</v>
      </c>
      <c r="DH7" s="39" t="str">
        <f>IF('Seznam zápasů'!E63="","",'Seznam zápasů'!E63)</f>
        <v>Slavia Tygři Praha</v>
      </c>
      <c r="DI7" s="45" t="str">
        <f>IF('Seznam zápasů'!F63="","",'Seznam zápasů'!F63)</f>
        <v>104</v>
      </c>
      <c r="DJ7" s="39" t="str">
        <f>IF('Seznam zápasů'!G63="","",'Seznam zápasů'!G63)</f>
        <v/>
      </c>
      <c r="DK7" s="39" t="str">
        <f>IF('Seznam zápasů'!H63="","",'Seznam zápasů'!H63)</f>
        <v/>
      </c>
      <c r="DL7" s="39" t="str">
        <f>IF('Seznam zápasů'!I63="","",'Seznam zápasů'!I63)</f>
        <v/>
      </c>
      <c r="DM7" s="39" t="str">
        <f ca="1">IF('Seznam zápasů'!J63="","",'Seznam zápasů'!J63)</f>
        <v>Nadcházející</v>
      </c>
      <c r="DN7" s="42">
        <f>IF('Seznam zápasů'!A91="","",'Seznam zápasů'!A91)</f>
        <v>46312</v>
      </c>
      <c r="DO7" s="39" t="str">
        <f>IF('Seznam zápasů'!B91="","",'Seznam zápasů'!B91)</f>
        <v>So</v>
      </c>
      <c r="DP7" s="39" t="str">
        <f>IF('Seznam zápasů'!D91="","",'Seznam zápasů'!D91)</f>
        <v>žákovská liga</v>
      </c>
      <c r="DQ7" s="39" t="str">
        <f>IF('Seznam zápasů'!E91="","",'Seznam zápasů'!E91)</f>
        <v>Studánka Pardubice</v>
      </c>
      <c r="DR7" s="45" t="str">
        <f>IF('Seznam zápasů'!F91="","",'Seznam zápasů'!F91)</f>
        <v>131</v>
      </c>
      <c r="DS7" s="39" t="str">
        <f>IF('Seznam zápasů'!G91="","",'Seznam zápasů'!G91)</f>
        <v/>
      </c>
      <c r="DT7" s="39" t="str">
        <f>IF('Seznam zápasů'!H91="","",'Seznam zápasů'!H91)</f>
        <v/>
      </c>
      <c r="DU7" s="39" t="str">
        <f>IF('Seznam zápasů'!I91="","",'Seznam zápasů'!I91)</f>
        <v/>
      </c>
      <c r="DV7" s="39" t="str">
        <f ca="1">IF('Seznam zápasů'!J91="","",'Seznam zápasů'!J91)</f>
        <v>Nadcházející</v>
      </c>
      <c r="DW7" s="42">
        <f>IF('Seznam zápasů'!A127="","",'Seznam zápasů'!A127)</f>
        <v>46333</v>
      </c>
      <c r="DX7" s="39" t="str">
        <f>IF('Seznam zápasů'!B127="","",'Seznam zápasů'!B127)</f>
        <v>So</v>
      </c>
      <c r="DY7" s="39" t="str">
        <f>IF('Seznam zápasů'!D127="","",'Seznam zápasů'!D127)</f>
        <v>nadreg. liga</v>
      </c>
      <c r="DZ7" s="39" t="str">
        <f>IF('Seznam zápasů'!E127="","",'Seznam zápasů'!E127)</f>
        <v>Kralupy Junior</v>
      </c>
      <c r="EA7" s="45" t="str">
        <f>IF('Seznam zápasů'!F127="","",'Seznam zápasů'!F127)</f>
        <v>016</v>
      </c>
      <c r="EB7" s="39" t="str">
        <f>IF('Seznam zápasů'!G127="","",'Seznam zápasů'!G127)</f>
        <v/>
      </c>
      <c r="EC7" s="39" t="str">
        <f>IF('Seznam zápasů'!H127="","",'Seznam zápasů'!H127)</f>
        <v/>
      </c>
      <c r="ED7" s="39" t="str">
        <f>IF('Seznam zápasů'!I127="","",'Seznam zápasů'!I127)</f>
        <v/>
      </c>
      <c r="EE7" s="39" t="str">
        <f ca="1">IF('Seznam zápasů'!J127="","",'Seznam zápasů'!J127)</f>
        <v>Nadcházející</v>
      </c>
      <c r="EF7" s="42">
        <f>IF('Seznam zápasů'!A77="","",'Seznam zápasů'!A77)</f>
        <v>46306</v>
      </c>
      <c r="EG7" s="39" t="str">
        <f>IF('Seznam zápasů'!B77="","",'Seznam zápasů'!B77)</f>
        <v>Ne</v>
      </c>
      <c r="EH7" s="39" t="str">
        <f>IF('Seznam zápasů'!D77="","",'Seznam zápasů'!D77)</f>
        <v>KP + kval. o NF</v>
      </c>
      <c r="EI7" s="39" t="str">
        <f>IF('Seznam zápasů'!E77="","",'Seznam zápasů'!E77)</f>
        <v>BA Nymburk</v>
      </c>
      <c r="EJ7" s="45" t="str">
        <f>IF('Seznam zápasů'!F77="","",'Seznam zápasů'!F77)</f>
        <v>011</v>
      </c>
      <c r="EK7" s="39" t="str">
        <f>IF('Seznam zápasů'!G77="","",'Seznam zápasů'!G77)</f>
        <v/>
      </c>
      <c r="EL7" s="39" t="str">
        <f>IF('Seznam zápasů'!H77="","",'Seznam zápasů'!H77)</f>
        <v/>
      </c>
      <c r="EM7" s="39" t="str">
        <f>IF('Seznam zápasů'!I77="","",'Seznam zápasů'!I77)</f>
        <v/>
      </c>
      <c r="EN7" s="39" t="str">
        <f ca="1">IF('Seznam zápasů'!J77="","",'Seznam zápasů'!J77)</f>
        <v>Nadcházející</v>
      </c>
      <c r="EO7" s="42">
        <f>IF('Seznam zápasů'!A157="","",'Seznam zápasů'!A157)</f>
        <v>46347</v>
      </c>
      <c r="EP7" s="39" t="str">
        <f>IF('Seznam zápasů'!B157="","",'Seznam zápasů'!B157)</f>
        <v>So</v>
      </c>
      <c r="EQ7" s="39" t="str">
        <f>IF('Seznam zápasů'!D157="","",'Seznam zápasů'!D157)</f>
        <v>KP + kval. o NF</v>
      </c>
      <c r="ER7" s="39" t="str">
        <f>IF('Seznam zápasů'!E157="","",'Seznam zápasů'!E157)</f>
        <v>TJ Sokol Nehvizdy</v>
      </c>
      <c r="ES7" s="45" t="str">
        <f>IF('Seznam zápasů'!F157="","",'Seznam zápasů'!F157)</f>
        <v>2x 018,054</v>
      </c>
      <c r="ET7" s="39" t="str">
        <f>IF('Seznam zápasů'!G157="","",'Seznam zápasů'!G157)</f>
        <v/>
      </c>
      <c r="EU7" s="39" t="str">
        <f>IF('Seznam zápasů'!H157="","",'Seznam zápasů'!H157)</f>
        <v/>
      </c>
      <c r="EV7" s="39" t="str">
        <f>IF('Seznam zápasů'!I157="","",'Seznam zápasů'!I157)</f>
        <v/>
      </c>
      <c r="EW7" s="39" t="str">
        <f ca="1">IF('Seznam zápasů'!J157="","",'Seznam zápasů'!J157)</f>
        <v>Nadcházející</v>
      </c>
      <c r="EX7" s="42">
        <f>IF('Seznam zápasů'!A140="","",'Seznam zápasů'!A140)</f>
        <v>46340</v>
      </c>
      <c r="EY7" s="39" t="str">
        <f>IF('Seznam zápasů'!B140="","",'Seznam zápasů'!B140)</f>
        <v>So</v>
      </c>
      <c r="EZ7" s="39" t="str">
        <f>IF('Seznam zápasů'!D140="","",'Seznam zápasů'!D140)</f>
        <v>KP + kval. o NF</v>
      </c>
      <c r="FA7" s="39" t="str">
        <f>IF('Seznam zápasů'!E140="","",'Seznam zápasů'!E140)</f>
        <v>BC Kolín</v>
      </c>
      <c r="FB7" s="45" t="str">
        <f>IF('Seznam zápasů'!F140="","",'Seznam zápasů'!F140)</f>
        <v>2x 025,070</v>
      </c>
      <c r="FC7" s="39" t="str">
        <f>IF('Seznam zápasů'!G140="","",'Seznam zápasů'!G140)</f>
        <v/>
      </c>
      <c r="FD7" s="39" t="str">
        <f>IF('Seznam zápasů'!H140="","",'Seznam zápasů'!H140)</f>
        <v/>
      </c>
      <c r="FE7" s="39" t="str">
        <f>IF('Seznam zápasů'!I140="","",'Seznam zápasů'!I140)</f>
        <v/>
      </c>
      <c r="FF7" s="39" t="str">
        <f ca="1">IF('Seznam zápasů'!J140="","",'Seznam zápasů'!J140)</f>
        <v>Nadcházející</v>
      </c>
      <c r="FG7" s="42">
        <f>IF('Seznam zápasů'!A230="","",'Seznam zápasů'!A230)</f>
        <v>46403</v>
      </c>
      <c r="FH7" s="39" t="str">
        <f>IF('Seznam zápasů'!B230="","",'Seznam zápasů'!B230)</f>
        <v>So</v>
      </c>
      <c r="FI7" s="39" t="str">
        <f>IF('Seznam zápasů'!D230="","",'Seznam zápasů'!D230)</f>
        <v>KP</v>
      </c>
      <c r="FJ7" s="39" t="str">
        <f>IF('Seznam zápasů'!E230="","",'Seznam zápasů'!E230)</f>
        <v>BC Benešov Ž</v>
      </c>
      <c r="FK7" s="45" t="str">
        <f>IF('Seznam zápasů'!F230="","",'Seznam zápasů'!F230)</f>
        <v>2x 011,031</v>
      </c>
      <c r="FL7" s="39" t="str">
        <f>IF('Seznam zápasů'!G230="","",'Seznam zápasů'!G230)</f>
        <v/>
      </c>
      <c r="FM7" s="39" t="str">
        <f>IF('Seznam zápasů'!H230="","",'Seznam zápasů'!H230)</f>
        <v/>
      </c>
      <c r="FN7" s="39" t="str">
        <f>IF('Seznam zápasů'!I230="","",'Seznam zápasů'!I230)</f>
        <v/>
      </c>
      <c r="FO7" s="39" t="str">
        <f ca="1">IF('Seznam zápasů'!J230="","",'Seznam zápasů'!J230)</f>
        <v>Nadcházející</v>
      </c>
      <c r="FP7" s="42">
        <f>IF('Seznam zápasů'!A41="","",'Seznam zápasů'!A41)</f>
        <v>46292</v>
      </c>
      <c r="FQ7" s="39" t="str">
        <f>IF('Seznam zápasů'!B41="","",'Seznam zápasů'!B41)</f>
        <v>Ne</v>
      </c>
      <c r="FR7" s="39" t="str">
        <f>IF('Seznam zápasů'!D41="","",'Seznam zápasů'!D41)</f>
        <v>KP + kval. o NF</v>
      </c>
      <c r="FS7" s="39" t="str">
        <f>IF('Seznam zápasů'!E41="","",'Seznam zápasů'!E41)</f>
        <v>BK Brandýs</v>
      </c>
      <c r="FT7" s="45" t="str">
        <f>IF('Seznam zápasů'!F41="","",'Seznam zápasů'!F41)</f>
        <v>019</v>
      </c>
      <c r="FU7" s="39" t="str">
        <f>IF('Seznam zápasů'!G41="","",'Seznam zápasů'!G41)</f>
        <v/>
      </c>
      <c r="FV7" s="39" t="str">
        <f>IF('Seznam zápasů'!H41="","",'Seznam zápasů'!H41)</f>
        <v/>
      </c>
      <c r="FW7" s="39" t="str">
        <f>IF('Seznam zápasů'!I41="","",'Seznam zápasů'!I41)</f>
        <v/>
      </c>
      <c r="FX7" s="39" t="str">
        <f ca="1">IF('Seznam zápasů'!J41="","",'Seznam zápasů'!J41)</f>
        <v>Nadcházející</v>
      </c>
      <c r="FY7" s="42">
        <f>IF('Seznam zápasů'!A159="","",'Seznam zápasů'!A159)</f>
        <v>46347</v>
      </c>
      <c r="FZ7" s="39" t="str">
        <f>IF('Seznam zápasů'!B159="","",'Seznam zápasů'!B159)</f>
        <v>So</v>
      </c>
      <c r="GA7" s="39" t="str">
        <f>IF('Seznam zápasů'!D159="","",'Seznam zápasů'!D159)</f>
        <v>KP + kval. o NF</v>
      </c>
      <c r="GB7" s="39" t="str">
        <f>IF('Seznam zápasů'!E159="","",'Seznam zápasů'!E159)</f>
        <v>BK Kralupy Junior</v>
      </c>
      <c r="GC7" s="45" t="str">
        <f>IF('Seznam zápasů'!F159="","",'Seznam zápasů'!F159)</f>
        <v>2x 019, 047</v>
      </c>
      <c r="GD7" s="39" t="str">
        <f>IF('Seznam zápasů'!G159="","",'Seznam zápasů'!G159)</f>
        <v/>
      </c>
      <c r="GE7" s="39" t="str">
        <f>IF('Seznam zápasů'!H159="","",'Seznam zápasů'!H159)</f>
        <v/>
      </c>
      <c r="GF7" s="39" t="str">
        <f>IF('Seznam zápasů'!I159="","",'Seznam zápasů'!I159)</f>
        <v/>
      </c>
      <c r="GG7" s="39" t="str">
        <f ca="1">IF('Seznam zápasů'!J159="","",'Seznam zápasů'!J159)</f>
        <v>Nadcházející</v>
      </c>
      <c r="GH7" s="42">
        <f>IF('Seznam zápasů'!A180="","",'Seznam zápasů'!A180)</f>
        <v>46361</v>
      </c>
      <c r="GI7" s="39" t="str">
        <f>IF('Seznam zápasů'!B180="","",'Seznam zápasů'!B180)</f>
        <v>So</v>
      </c>
      <c r="GJ7" s="39" t="str">
        <f>IF('Seznam zápasů'!D180="","",'Seznam zápasů'!D180)</f>
        <v>KP + kval. o NF</v>
      </c>
      <c r="GK7" s="39" t="str">
        <f>IF('Seznam zápasů'!E180="","",'Seznam zápasů'!E180)</f>
        <v>TJ AŠ Mladá Boleslav</v>
      </c>
      <c r="GL7" s="45" t="str">
        <f>IF('Seznam zápasů'!F180="","",'Seznam zápasů'!F180)</f>
        <v>2x 013, 034</v>
      </c>
      <c r="GM7" s="39" t="str">
        <f>IF('Seznam zápasů'!G180="","",'Seznam zápasů'!G180)</f>
        <v/>
      </c>
      <c r="GN7" s="39" t="str">
        <f>IF('Seznam zápasů'!H180="","",'Seznam zápasů'!H180)</f>
        <v/>
      </c>
      <c r="GO7" s="39" t="str">
        <f>IF('Seznam zápasů'!I180="","",'Seznam zápasů'!I180)</f>
        <v/>
      </c>
      <c r="GP7" s="39" t="str">
        <f ca="1">IF('Seznam zápasů'!J180="","",'Seznam zápasů'!J180)</f>
        <v>Nadcházející</v>
      </c>
      <c r="GQ7" s="42">
        <f>IF('Seznam zápasů'!A232="","",'Seznam zápasů'!A232)</f>
        <v>46403</v>
      </c>
      <c r="GR7" s="39" t="str">
        <f>IF('Seznam zápasů'!B232="","",'Seznam zápasů'!B232)</f>
        <v>So</v>
      </c>
      <c r="GS7" s="39" t="str">
        <f>IF('Seznam zápasů'!D232="","",'Seznam zápasů'!D232)</f>
        <v>KP</v>
      </c>
      <c r="GT7" s="39" t="str">
        <f>IF('Seznam zápasů'!E232="","",'Seznam zápasů'!E232)</f>
        <v>BC Benešov M</v>
      </c>
      <c r="GU7" s="45" t="str">
        <f>IF('Seznam zápasů'!F232="","",'Seznam zápasů'!F232)</f>
        <v>2x 011,031</v>
      </c>
      <c r="GV7" s="39" t="str">
        <f>IF('Seznam zápasů'!G232="","",'Seznam zápasů'!G232)</f>
        <v/>
      </c>
      <c r="GW7" s="39" t="str">
        <f>IF('Seznam zápasů'!H232="","",'Seznam zápasů'!H232)</f>
        <v/>
      </c>
      <c r="GX7" s="39" t="str">
        <f>IF('Seznam zápasů'!I232="","",'Seznam zápasů'!I232)</f>
        <v/>
      </c>
      <c r="GY7" s="39" t="str">
        <f ca="1">IF('Seznam zápasů'!J232="","",'Seznam zápasů'!J232)</f>
        <v>Nadcházející</v>
      </c>
    </row>
    <row r="8" spans="1:216" x14ac:dyDescent="0.2">
      <c r="A8" s="42">
        <f>IF('Seznam zápasů'!A99="","",'Seznam zápasů'!A99)</f>
        <v>46313</v>
      </c>
      <c r="B8" s="39" t="str">
        <f>IF('Seznam zápasů'!B99="","",'Seznam zápasů'!B99)</f>
        <v>Ne</v>
      </c>
      <c r="C8" s="39" t="str">
        <f>IF('Seznam zápasů'!D99="","",'Seznam zápasů'!D99)</f>
        <v>SBLM</v>
      </c>
      <c r="D8" s="39" t="str">
        <f>IF('Seznam zápasů'!E99="","",'Seznam zápasů'!E99)</f>
        <v>BK Kladno "B"</v>
      </c>
      <c r="E8" s="45" t="str">
        <f>IF('Seznam zápasů'!F99="","",'Seznam zápasů'!F99)</f>
        <v>033</v>
      </c>
      <c r="F8" s="39" t="str">
        <f>IF('Seznam zápasů'!G99="","",'Seznam zápasů'!G99)</f>
        <v/>
      </c>
      <c r="G8" s="39" t="str">
        <f>IF('Seznam zápasů'!H99="","",'Seznam zápasů'!H99)</f>
        <v/>
      </c>
      <c r="H8" s="39" t="str">
        <f>IF('Seznam zápasů'!I99="","",'Seznam zápasů'!I99)</f>
        <v/>
      </c>
      <c r="I8" s="39" t="str">
        <f ca="1">IF('Seznam zápasů'!J99="","",'Seznam zápasů'!J99)</f>
        <v>Nadcházející</v>
      </c>
      <c r="J8" s="42">
        <f>IF('Seznam zápasů'!A144="","",'Seznam zápasů'!A144)</f>
        <v>46340</v>
      </c>
      <c r="K8" s="39" t="str">
        <f>IF('Seznam zápasů'!B144="","",'Seznam zápasů'!B144)</f>
        <v>So</v>
      </c>
      <c r="L8" s="39" t="str">
        <f>IF('Seznam zápasů'!D144="","",'Seznam zápasů'!D144)</f>
        <v>KP</v>
      </c>
      <c r="M8" s="39" t="str">
        <f>IF('Seznam zápasů'!E144="","",'Seznam zápasů'!E144)</f>
        <v>Slavoj Český Brod "B"</v>
      </c>
      <c r="N8" s="45" t="str">
        <f>IF('Seznam zápasů'!F144="","",'Seznam zápasů'!F144)</f>
        <v>022</v>
      </c>
      <c r="O8" s="39" t="str">
        <f>IF('Seznam zápasů'!G144="","",'Seznam zápasů'!G144)</f>
        <v/>
      </c>
      <c r="P8" s="39" t="str">
        <f>IF('Seznam zápasů'!H144="","",'Seznam zápasů'!H144)</f>
        <v/>
      </c>
      <c r="Q8" s="39" t="str">
        <f>IF('Seznam zápasů'!I144="","",'Seznam zápasů'!I144)</f>
        <v/>
      </c>
      <c r="R8" s="39" t="str">
        <f ca="1">IF('Seznam zápasů'!J144="","",'Seznam zápasů'!J144)</f>
        <v>Nadcházející</v>
      </c>
      <c r="S8" s="42">
        <f>IF('Seznam zápasů'!A102="","",'Seznam zápasů'!A102)</f>
        <v>46313</v>
      </c>
      <c r="T8" s="39" t="str">
        <f>IF('Seznam zápasů'!B102="","",'Seznam zápasů'!B102)</f>
        <v>Ne</v>
      </c>
      <c r="U8" s="39" t="str">
        <f>IF('Seznam zápasů'!D102="","",'Seznam zápasů'!D102)</f>
        <v>II. Liga</v>
      </c>
      <c r="V8" s="39" t="str">
        <f>IF('Seznam zápasů'!E102="","",'Seznam zápasů'!E102)</f>
        <v>Lokomotiva Karlovy Vary</v>
      </c>
      <c r="W8" s="45" t="str">
        <f>IF('Seznam zápasů'!F102="","",'Seznam zápasů'!F102)</f>
        <v>025</v>
      </c>
      <c r="X8" s="39" t="str">
        <f>IF('Seznam zápasů'!G102="","",'Seznam zápasů'!G102)</f>
        <v/>
      </c>
      <c r="Y8" s="39" t="str">
        <f>IF('Seznam zápasů'!H102="","",'Seznam zápasů'!H102)</f>
        <v/>
      </c>
      <c r="Z8" s="39" t="str">
        <f>IF('Seznam zápasů'!I102="","",'Seznam zápasů'!I102)</f>
        <v/>
      </c>
      <c r="AA8" s="39" t="str">
        <f ca="1">IF('Seznam zápasů'!J102="","",'Seznam zápasů'!J102)</f>
        <v>Nadcházející</v>
      </c>
      <c r="AB8" s="42">
        <f>IF('Seznam zápasů'!A129="","",'Seznam zápasů'!A129)</f>
        <v>46333</v>
      </c>
      <c r="AC8" s="39" t="str">
        <f>IF('Seznam zápasů'!B129="","",'Seznam zápasů'!B129)</f>
        <v>So</v>
      </c>
      <c r="AD8" s="39" t="str">
        <f>IF('Seznam zápasů'!D129="","",'Seznam zápasů'!D129)</f>
        <v>SBLŽ</v>
      </c>
      <c r="AE8" s="39" t="str">
        <f>IF('Seznam zápasů'!E129="","",'Seznam zápasů'!E129)</f>
        <v>BC Slaný</v>
      </c>
      <c r="AF8" s="45" t="str">
        <f>IF('Seznam zápasů'!F129="","",'Seznam zápasů'!F129)</f>
        <v>025</v>
      </c>
      <c r="AG8" s="39" t="str">
        <f>IF('Seznam zápasů'!G129="","",'Seznam zápasů'!G129)</f>
        <v/>
      </c>
      <c r="AH8" s="39" t="str">
        <f>IF('Seznam zápasů'!H129="","",'Seznam zápasů'!H129)</f>
        <v/>
      </c>
      <c r="AI8" s="39" t="str">
        <f>IF('Seznam zápasů'!I129="","",'Seznam zápasů'!I129)</f>
        <v/>
      </c>
      <c r="AJ8" s="39" t="str">
        <f ca="1">IF('Seznam zápasů'!J129="","",'Seznam zápasů'!J129)</f>
        <v>Nadcházející</v>
      </c>
      <c r="AK8" s="42">
        <f>IF('Seznam zápasů'!A130="","",'Seznam zápasů'!A130)</f>
        <v>46333</v>
      </c>
      <c r="AL8" s="39" t="str">
        <f>IF('Seznam zápasů'!B130="","",'Seznam zápasů'!B130)</f>
        <v>So</v>
      </c>
      <c r="AM8" s="39" t="str">
        <f>IF('Seznam zápasů'!D130="","",'Seznam zápasů'!D130)</f>
        <v>SBLŽ</v>
      </c>
      <c r="AN8" s="39" t="str">
        <f>IF('Seznam zápasů'!E130="","",'Seznam zápasů'!E130)</f>
        <v>BK Kralupy Junior</v>
      </c>
      <c r="AO8" s="45" t="str">
        <f>IF('Seznam zápasů'!F130="","",'Seznam zápasů'!F130)</f>
        <v>026</v>
      </c>
      <c r="AP8" s="39" t="str">
        <f>IF('Seznam zápasů'!G130="","",'Seznam zápasů'!G130)</f>
        <v/>
      </c>
      <c r="AQ8" s="39" t="str">
        <f>IF('Seznam zápasů'!H130="","",'Seznam zápasů'!H130)</f>
        <v/>
      </c>
      <c r="AR8" s="39" t="str">
        <f>IF('Seznam zápasů'!I130="","",'Seznam zápasů'!I130)</f>
        <v/>
      </c>
      <c r="AS8" s="39" t="str">
        <f ca="1">IF('Seznam zápasů'!J130="","",'Seznam zápasů'!J130)</f>
        <v>Nadcházející</v>
      </c>
      <c r="AT8" s="42">
        <f>IF('Seznam zápasů'!A113="","",'Seznam zápasů'!A113)</f>
        <v>46320</v>
      </c>
      <c r="AU8" s="39" t="str">
        <f>IF('Seznam zápasů'!B113="","",'Seznam zápasů'!B113)</f>
        <v>Ne</v>
      </c>
      <c r="AV8" s="39" t="str">
        <f>IF('Seznam zápasů'!D113="","",'Seznam zápasů'!D113)</f>
        <v>NRL</v>
      </c>
      <c r="AW8" s="39" t="str">
        <f>IF('Seznam zápasů'!E113="","",'Seznam zápasů'!E113)</f>
        <v>TJ Třebíč</v>
      </c>
      <c r="AX8" s="45" t="str">
        <f>IF('Seznam zápasů'!F113="","",'Seznam zápasů'!F113)</f>
        <v>19244</v>
      </c>
      <c r="AY8" s="39" t="str">
        <f>IF('Seznam zápasů'!G113="","",'Seznam zápasů'!G113)</f>
        <v/>
      </c>
      <c r="AZ8" s="39" t="str">
        <f>IF('Seznam zápasů'!H113="","",'Seznam zápasů'!H113)</f>
        <v/>
      </c>
      <c r="BA8" s="39" t="str">
        <f>IF('Seznam zápasů'!I113="","",'Seznam zápasů'!I113)</f>
        <v/>
      </c>
      <c r="BB8" s="39" t="str">
        <f ca="1">IF('Seznam zápasů'!J113="","",'Seznam zápasů'!J113)</f>
        <v>Nadcházející</v>
      </c>
      <c r="BC8" s="42">
        <f>IF('Seznam zápasů'!A96="","",'Seznam zápasů'!A96)</f>
        <v>46313</v>
      </c>
      <c r="BD8" s="39" t="str">
        <f>IF('Seznam zápasů'!B96="","",'Seznam zápasů'!B96)</f>
        <v>Ne</v>
      </c>
      <c r="BE8" s="39" t="str">
        <f>IF('Seznam zápasů'!D96="","",'Seznam zápasů'!D96)</f>
        <v>nadreg. liga</v>
      </c>
      <c r="BF8" s="39" t="str">
        <f>IF('Seznam zápasů'!E96="","",'Seznam zápasů'!E96)</f>
        <v>Sokol Žižkov B</v>
      </c>
      <c r="BG8" s="45" t="str">
        <f>IF('Seznam zápasů'!F96="","",'Seznam zápasů'!F96)</f>
        <v>17146</v>
      </c>
      <c r="BH8" s="39" t="str">
        <f>IF('Seznam zápasů'!G96="","",'Seznam zápasů'!G96)</f>
        <v/>
      </c>
      <c r="BI8" s="39" t="str">
        <f>IF('Seznam zápasů'!H96="","",'Seznam zápasů'!H96)</f>
        <v/>
      </c>
      <c r="BJ8" s="39" t="str">
        <f>IF('Seznam zápasů'!I96="","",'Seznam zápasů'!I96)</f>
        <v/>
      </c>
      <c r="BK8" s="39" t="str">
        <f ca="1">IF('Seznam zápasů'!J96="","",'Seznam zápasů'!J96)</f>
        <v>Nadcházející</v>
      </c>
      <c r="BL8" s="42">
        <f>IF('Seznam zápasů'!A97="","",'Seznam zápasů'!A97)</f>
        <v>46313</v>
      </c>
      <c r="BM8" s="39" t="str">
        <f>IF('Seznam zápasů'!B97="","",'Seznam zápasů'!B97)</f>
        <v>Ne</v>
      </c>
      <c r="BN8" s="39" t="str">
        <f>IF('Seznam zápasů'!D97="","",'Seznam zápasů'!D97)</f>
        <v>celostátní liga</v>
      </c>
      <c r="BO8" s="39" t="str">
        <f>IF('Seznam zápasů'!E97="","",'Seznam zápasů'!E97)</f>
        <v>Sokol Nusle</v>
      </c>
      <c r="BP8" s="45" t="str">
        <f>IF('Seznam zápasů'!F97="","",'Seznam zápasů'!F97)</f>
        <v>082</v>
      </c>
      <c r="BQ8" s="39" t="str">
        <f>IF('Seznam zápasů'!G97="","",'Seznam zápasů'!G97)</f>
        <v/>
      </c>
      <c r="BR8" s="39" t="str">
        <f>IF('Seznam zápasů'!H97="","",'Seznam zápasů'!H97)</f>
        <v/>
      </c>
      <c r="BS8" s="39" t="str">
        <f>IF('Seznam zápasů'!I97="","",'Seznam zápasů'!I97)</f>
        <v/>
      </c>
      <c r="BT8" s="39" t="str">
        <f ca="1">IF('Seznam zápasů'!J97="","",'Seznam zápasů'!J97)</f>
        <v>Nadcházející</v>
      </c>
      <c r="BU8" s="42">
        <f>IF('Seznam zápasů'!A98="","",'Seznam zápasů'!A98)</f>
        <v>46313</v>
      </c>
      <c r="BV8" s="39" t="str">
        <f>IF('Seznam zápasů'!B98="","",'Seznam zápasů'!B98)</f>
        <v>Ne</v>
      </c>
      <c r="BW8" s="39" t="str">
        <f>IF('Seznam zápasů'!D98="","",'Seznam zápasů'!D98)</f>
        <v>nadreg. liga</v>
      </c>
      <c r="BX8" s="39" t="str">
        <f>IF('Seznam zápasů'!E98="","",'Seznam zápasů'!E98)</f>
        <v>BC Slaný</v>
      </c>
      <c r="BY8" s="45" t="str">
        <f>IF('Seznam zápasů'!F98="","",'Seznam zápasů'!F98)</f>
        <v>17562</v>
      </c>
      <c r="BZ8" s="39" t="str">
        <f>IF('Seznam zápasů'!G98="","",'Seznam zápasů'!G98)</f>
        <v/>
      </c>
      <c r="CA8" s="39" t="str">
        <f>IF('Seznam zápasů'!H98="","",'Seznam zápasů'!H98)</f>
        <v/>
      </c>
      <c r="CB8" s="39" t="str">
        <f>IF('Seznam zápasů'!I98="","",'Seznam zápasů'!I98)</f>
        <v/>
      </c>
      <c r="CC8" s="39" t="str">
        <f ca="1">IF('Seznam zápasů'!J98="","",'Seznam zápasů'!J98)</f>
        <v>Nadcházející</v>
      </c>
      <c r="CD8" s="42">
        <f>IF('Seznam zápasů'!A117="","",'Seznam zápasů'!A117)</f>
        <v>46320</v>
      </c>
      <c r="CE8" s="39" t="str">
        <f>IF('Seznam zápasů'!B117="","",'Seznam zápasů'!B117)</f>
        <v>Ne</v>
      </c>
      <c r="CF8" s="39" t="str">
        <f>IF('Seznam zápasů'!D117="","",'Seznam zápasů'!D117)</f>
        <v>žákovská liga</v>
      </c>
      <c r="CG8" s="39" t="str">
        <f>IF('Seznam zápasů'!E117="","",'Seznam zápasů'!E117)</f>
        <v>Slavi Tygři Praha</v>
      </c>
      <c r="CH8" s="45" t="str">
        <f>IF('Seznam zápasů'!F117="","",'Seznam zápasů'!F117)</f>
        <v>025</v>
      </c>
      <c r="CI8" s="39" t="str">
        <f>IF('Seznam zápasů'!G117="","",'Seznam zápasů'!G117)</f>
        <v/>
      </c>
      <c r="CJ8" s="39" t="str">
        <f>IF('Seznam zápasů'!H117="","",'Seznam zápasů'!H117)</f>
        <v/>
      </c>
      <c r="CK8" s="39" t="str">
        <f>IF('Seznam zápasů'!I117="","",'Seznam zápasů'!I117)</f>
        <v/>
      </c>
      <c r="CL8" s="39" t="str">
        <f ca="1">IF('Seznam zápasů'!J117="","",'Seznam zápasů'!J117)</f>
        <v>Nadcházející</v>
      </c>
      <c r="CM8" s="42">
        <f>IF('Seznam zápasů'!A118="","",'Seznam zápasů'!A118)</f>
        <v>46320</v>
      </c>
      <c r="CN8" s="39" t="str">
        <f>IF('Seznam zápasů'!B118="","",'Seznam zápasů'!B118)</f>
        <v>Ne</v>
      </c>
      <c r="CO8" s="39" t="str">
        <f>IF('Seznam zápasů'!D118="","",'Seznam zápasů'!D118)</f>
        <v>žákovská liga</v>
      </c>
      <c r="CP8" s="39" t="str">
        <f>IF('Seznam zápasů'!E118="","",'Seznam zápasů'!E118)</f>
        <v>DBaK</v>
      </c>
      <c r="CQ8" s="45" t="str">
        <f>IF('Seznam zápasů'!F118="","",'Seznam zápasů'!F118)</f>
        <v>027</v>
      </c>
      <c r="CR8" s="39" t="str">
        <f>IF('Seznam zápasů'!G118="","",'Seznam zápasů'!G118)</f>
        <v/>
      </c>
      <c r="CS8" s="39" t="str">
        <f>IF('Seznam zápasů'!H118="","",'Seznam zápasů'!H118)</f>
        <v/>
      </c>
      <c r="CT8" s="39" t="str">
        <f>IF('Seznam zápasů'!I118="","",'Seznam zápasů'!I118)</f>
        <v/>
      </c>
      <c r="CU8" s="39" t="str">
        <f ca="1">IF('Seznam zápasů'!J118="","",'Seznam zápasů'!J118)</f>
        <v>Nadcházející</v>
      </c>
      <c r="CV8" s="42">
        <f>IF('Seznam zápasů'!A147="","",'Seznam zápasů'!A147)</f>
        <v>46340</v>
      </c>
      <c r="CW8" s="39" t="str">
        <f>IF('Seznam zápasů'!B147="","",'Seznam zápasů'!B147)</f>
        <v>So</v>
      </c>
      <c r="CX8" s="39" t="str">
        <f>IF('Seznam zápasů'!D147="","",'Seznam zápasů'!D147)</f>
        <v>nadreg. Liga</v>
      </c>
      <c r="CY8" s="39" t="str">
        <f>IF('Seznam zápasů'!E147="","",'Seznam zápasů'!E147)</f>
        <v>Basket Říčany</v>
      </c>
      <c r="CZ8" s="45" t="str">
        <f>IF('Seznam zápasů'!F147="","",'Seznam zápasů'!F147)</f>
        <v>061</v>
      </c>
      <c r="DA8" s="39" t="str">
        <f>IF('Seznam zápasů'!G147="","",'Seznam zápasů'!G147)</f>
        <v/>
      </c>
      <c r="DB8" s="39" t="str">
        <f>IF('Seznam zápasů'!H147="","",'Seznam zápasů'!H147)</f>
        <v/>
      </c>
      <c r="DC8" s="39" t="str">
        <f>IF('Seznam zápasů'!I147="","",'Seznam zápasů'!I147)</f>
        <v/>
      </c>
      <c r="DD8" s="39" t="str">
        <f ca="1">IF('Seznam zápasů'!J147="","",'Seznam zápasů'!J147)</f>
        <v>Nadcházející</v>
      </c>
      <c r="DE8" s="42">
        <f>IF('Seznam zápasů'!A90="","",'Seznam zápasů'!A90)</f>
        <v>46312</v>
      </c>
      <c r="DF8" s="39" t="str">
        <f>IF('Seznam zápasů'!B90="","",'Seznam zápasů'!B90)</f>
        <v>So</v>
      </c>
      <c r="DG8" s="39" t="str">
        <f>IF('Seznam zápasů'!D90="","",'Seznam zápasů'!D90)</f>
        <v>žákovská liga</v>
      </c>
      <c r="DH8" s="39" t="str">
        <f>IF('Seznam zápasů'!E90="","",'Seznam zápasů'!E90)</f>
        <v>BA Radotín</v>
      </c>
      <c r="DI8" s="45" t="str">
        <f>IF('Seznam zápasů'!F90="","",'Seznam zápasů'!F90)</f>
        <v>085</v>
      </c>
      <c r="DJ8" s="39" t="str">
        <f>IF('Seznam zápasů'!G90="","",'Seznam zápasů'!G90)</f>
        <v/>
      </c>
      <c r="DK8" s="39" t="str">
        <f>IF('Seznam zápasů'!H90="","",'Seznam zápasů'!H90)</f>
        <v/>
      </c>
      <c r="DL8" s="39" t="str">
        <f>IF('Seznam zápasů'!I90="","",'Seznam zápasů'!I90)</f>
        <v/>
      </c>
      <c r="DM8" s="39" t="str">
        <f ca="1">IF('Seznam zápasů'!J90="","",'Seznam zápasů'!J90)</f>
        <v>Nadcházející</v>
      </c>
      <c r="DN8" s="42">
        <f>IF('Seznam zápasů'!A126="","",'Seznam zápasů'!A126)</f>
        <v>46333</v>
      </c>
      <c r="DO8" s="39" t="str">
        <f>IF('Seznam zápasů'!B126="","",'Seznam zápasů'!B126)</f>
        <v>So</v>
      </c>
      <c r="DP8" s="39" t="str">
        <f>IF('Seznam zápasů'!D126="","",'Seznam zápasů'!D126)</f>
        <v>žákovská liga</v>
      </c>
      <c r="DQ8" s="39" t="str">
        <f>IF('Seznam zápasů'!E126="","",'Seznam zápasů'!E126)</f>
        <v>BK Blansko</v>
      </c>
      <c r="DR8" s="45" t="str">
        <f>IF('Seznam zápasů'!F126="","",'Seznam zápasů'!F126)</f>
        <v/>
      </c>
      <c r="DS8" s="39" t="str">
        <f>IF('Seznam zápasů'!G126="","",'Seznam zápasů'!G126)</f>
        <v/>
      </c>
      <c r="DT8" s="39" t="str">
        <f>IF('Seznam zápasů'!H126="","",'Seznam zápasů'!H126)</f>
        <v/>
      </c>
      <c r="DU8" s="39" t="str">
        <f>IF('Seznam zápasů'!I126="","",'Seznam zápasů'!I126)</f>
        <v/>
      </c>
      <c r="DV8" s="39" t="str">
        <f ca="1">IF('Seznam zápasů'!J126="","",'Seznam zápasů'!J126)</f>
        <v>Nadcházející</v>
      </c>
      <c r="DW8" s="42">
        <f>IF('Seznam zápasů'!A135="","",'Seznam zápasů'!A135)</f>
        <v>46334</v>
      </c>
      <c r="DX8" s="39" t="str">
        <f>IF('Seznam zápasů'!B135="","",'Seznam zápasů'!B135)</f>
        <v>Ne</v>
      </c>
      <c r="DY8" s="39" t="str">
        <f>IF('Seznam zápasů'!D135="","",'Seznam zápasů'!D135)</f>
        <v>nadreg. liga</v>
      </c>
      <c r="DZ8" s="39" t="str">
        <f>IF('Seznam zápasů'!E135="","",'Seznam zápasů'!E135)</f>
        <v>BA Roudnice</v>
      </c>
      <c r="EA8" s="45" t="str">
        <f>IF('Seznam zápasů'!F135="","",'Seznam zápasů'!F135)</f>
        <v>019</v>
      </c>
      <c r="EB8" s="39" t="str">
        <f>IF('Seznam zápasů'!G135="","",'Seznam zápasů'!G135)</f>
        <v/>
      </c>
      <c r="EC8" s="39" t="str">
        <f>IF('Seznam zápasů'!H135="","",'Seznam zápasů'!H135)</f>
        <v/>
      </c>
      <c r="ED8" s="39" t="str">
        <f>IF('Seznam zápasů'!I135="","",'Seznam zápasů'!I135)</f>
        <v/>
      </c>
      <c r="EE8" s="39" t="str">
        <f ca="1">IF('Seznam zápasů'!J135="","",'Seznam zápasů'!J135)</f>
        <v>Nadcházející</v>
      </c>
      <c r="EF8" s="42">
        <f>IF('Seznam zápasů'!A114="","",'Seznam zápasů'!A114)</f>
        <v>46320</v>
      </c>
      <c r="EG8" s="39" t="str">
        <f>IF('Seznam zápasů'!B114="","",'Seznam zápasů'!B114)</f>
        <v>Ne</v>
      </c>
      <c r="EH8" s="39" t="str">
        <f>IF('Seznam zápasů'!D114="","",'Seznam zápasů'!D114)</f>
        <v>KP + kval. o NF</v>
      </c>
      <c r="EI8" s="39" t="str">
        <f>IF('Seznam zápasů'!E114="","",'Seznam zápasů'!E114)</f>
        <v>BK Mělník</v>
      </c>
      <c r="EJ8" s="45" t="str">
        <f>IF('Seznam zápasů'!F114="","",'Seznam zápasů'!F114)</f>
        <v>016</v>
      </c>
      <c r="EK8" s="39" t="str">
        <f>IF('Seznam zápasů'!G114="","",'Seznam zápasů'!G114)</f>
        <v/>
      </c>
      <c r="EL8" s="39" t="str">
        <f>IF('Seznam zápasů'!H114="","",'Seznam zápasů'!H114)</f>
        <v/>
      </c>
      <c r="EM8" s="39" t="str">
        <f>IF('Seznam zápasů'!I114="","",'Seznam zápasů'!I114)</f>
        <v/>
      </c>
      <c r="EN8" s="39" t="str">
        <f ca="1">IF('Seznam zápasů'!J114="","",'Seznam zápasů'!J114)</f>
        <v>Nadcházející</v>
      </c>
      <c r="EO8" s="42">
        <f>IF('Seznam zápasů'!A196="","",'Seznam zápasů'!A196)</f>
        <v>46368</v>
      </c>
      <c r="EP8" s="39" t="str">
        <f>IF('Seznam zápasů'!B196="","",'Seznam zápasů'!B196)</f>
        <v>So</v>
      </c>
      <c r="EQ8" s="39" t="str">
        <f>IF('Seznam zápasů'!D196="","",'Seznam zápasů'!D196)</f>
        <v>KP + kval. o NF</v>
      </c>
      <c r="ER8" s="39" t="str">
        <f>IF('Seznam zápasů'!E196="","",'Seznam zápasů'!E196)</f>
        <v>BC Kolín</v>
      </c>
      <c r="ES8" s="45" t="str">
        <f>IF('Seznam zápasů'!F196="","",'Seznam zápasů'!F196)</f>
        <v>2x 023,059</v>
      </c>
      <c r="ET8" s="39" t="str">
        <f>IF('Seznam zápasů'!G196="","",'Seznam zápasů'!G196)</f>
        <v/>
      </c>
      <c r="EU8" s="39" t="str">
        <f>IF('Seznam zápasů'!H196="","",'Seznam zápasů'!H196)</f>
        <v/>
      </c>
      <c r="EV8" s="39" t="str">
        <f>IF('Seznam zápasů'!I196="","",'Seznam zápasů'!I196)</f>
        <v/>
      </c>
      <c r="EW8" s="39" t="str">
        <f ca="1">IF('Seznam zápasů'!J196="","",'Seznam zápasů'!J196)</f>
        <v>Nadcházející</v>
      </c>
      <c r="EX8" s="42">
        <f>IF('Seznam zápasů'!A178="","",'Seznam zápasů'!A178)</f>
        <v>46361</v>
      </c>
      <c r="EY8" s="39" t="str">
        <f>IF('Seznam zápasů'!B178="","",'Seznam zápasů'!B178)</f>
        <v>So</v>
      </c>
      <c r="EZ8" s="39" t="str">
        <f>IF('Seznam zápasů'!D178="","",'Seznam zápasů'!D178)</f>
        <v>KP + kval. o NF</v>
      </c>
      <c r="FA8" s="39" t="str">
        <f>IF('Seznam zápasů'!E178="","",'Seznam zápasů'!E178)</f>
        <v>Basketbal Újezd nad Lesy</v>
      </c>
      <c r="FB8" s="45" t="str">
        <f>IF('Seznam zápasů'!F178="","",'Seznam zápasů'!F178)</f>
        <v>2x 027, 072</v>
      </c>
      <c r="FC8" s="39" t="str">
        <f>IF('Seznam zápasů'!G178="","",'Seznam zápasů'!G178)</f>
        <v/>
      </c>
      <c r="FD8" s="39" t="str">
        <f>IF('Seznam zápasů'!H178="","",'Seznam zápasů'!H178)</f>
        <v/>
      </c>
      <c r="FE8" s="39" t="str">
        <f>IF('Seznam zápasů'!I178="","",'Seznam zápasů'!I178)</f>
        <v/>
      </c>
      <c r="FF8" s="39" t="str">
        <f ca="1">IF('Seznam zápasů'!J178="","",'Seznam zápasů'!J178)</f>
        <v>Nadcházející</v>
      </c>
      <c r="FG8" s="42">
        <f>IF('Seznam zápasů'!A272="","",'Seznam zápasů'!A272)</f>
        <v>46424</v>
      </c>
      <c r="FH8" s="39" t="str">
        <f>IF('Seznam zápasů'!B272="","",'Seznam zápasů'!B272)</f>
        <v>So</v>
      </c>
      <c r="FI8" s="39" t="str">
        <f>IF('Seznam zápasů'!D272="","",'Seznam zápasů'!D272)</f>
        <v>KP</v>
      </c>
      <c r="FJ8" s="39" t="str">
        <f>IF('Seznam zápasů'!E272="","",'Seznam zápasů'!E272)</f>
        <v>BK Mělník</v>
      </c>
      <c r="FK8" s="45" t="str">
        <f>IF('Seznam zápasů'!F272="","",'Seznam zápasů'!F272)</f>
        <v>2x 013, 033</v>
      </c>
      <c r="FL8" s="39" t="str">
        <f>IF('Seznam zápasů'!G272="","",'Seznam zápasů'!G272)</f>
        <v/>
      </c>
      <c r="FM8" s="39" t="str">
        <f>IF('Seznam zápasů'!H272="","",'Seznam zápasů'!H272)</f>
        <v/>
      </c>
      <c r="FN8" s="39" t="str">
        <f>IF('Seznam zápasů'!I272="","",'Seznam zápasů'!I272)</f>
        <v/>
      </c>
      <c r="FO8" s="39" t="str">
        <f ca="1">IF('Seznam zápasů'!J272="","",'Seznam zápasů'!J272)</f>
        <v>Nadcházející</v>
      </c>
      <c r="FP8" s="42">
        <f>IF('Seznam zápasů'!A108="","",'Seznam zápasů'!A108)</f>
        <v>46319</v>
      </c>
      <c r="FQ8" s="39" t="str">
        <f>IF('Seznam zápasů'!B108="","",'Seznam zápasů'!B108)</f>
        <v>So</v>
      </c>
      <c r="FR8" s="39" t="str">
        <f>IF('Seznam zápasů'!D108="","",'Seznam zápasů'!D108)</f>
        <v>KP + kval. o NF</v>
      </c>
      <c r="FS8" s="39" t="str">
        <f>IF('Seznam zápasů'!E108="","",'Seznam zápasů'!E108)</f>
        <v>Sokol Kladno</v>
      </c>
      <c r="FT8" s="45" t="str">
        <f>IF('Seznam zápasů'!F108="","",'Seznam zápasů'!F108)</f>
        <v>040</v>
      </c>
      <c r="FU8" s="39" t="str">
        <f>IF('Seznam zápasů'!G108="","",'Seznam zápasů'!G108)</f>
        <v/>
      </c>
      <c r="FV8" s="39" t="str">
        <f>IF('Seznam zápasů'!H108="","",'Seznam zápasů'!H108)</f>
        <v/>
      </c>
      <c r="FW8" s="39" t="str">
        <f>IF('Seznam zápasů'!I108="","",'Seznam zápasů'!I108)</f>
        <v/>
      </c>
      <c r="FX8" s="39" t="str">
        <f ca="1">IF('Seznam zápasů'!J108="","",'Seznam zápasů'!J108)</f>
        <v>Nadcházející</v>
      </c>
      <c r="FY8" s="42">
        <f>IF('Seznam zápasů'!A198="","",'Seznam zápasů'!A198)</f>
        <v>46368</v>
      </c>
      <c r="FZ8" s="39" t="str">
        <f>IF('Seznam zápasů'!B198="","",'Seznam zápasů'!B198)</f>
        <v>So</v>
      </c>
      <c r="GA8" s="39" t="str">
        <f>IF('Seznam zápasů'!D198="","",'Seznam zápasů'!D198)</f>
        <v>KP + kval. o NF</v>
      </c>
      <c r="GB8" s="39" t="str">
        <f>IF('Seznam zápasů'!E198="","",'Seznam zápasů'!E198)</f>
        <v>BK Brandýs</v>
      </c>
      <c r="GC8" s="45" t="str">
        <f>IF('Seznam zápasů'!F198="","",'Seznam zápasů'!F198)</f>
        <v>2x 023,051</v>
      </c>
      <c r="GD8" s="39" t="str">
        <f>IF('Seznam zápasů'!G198="","",'Seznam zápasů'!G198)</f>
        <v/>
      </c>
      <c r="GE8" s="39" t="str">
        <f>IF('Seznam zápasů'!H198="","",'Seznam zápasů'!H198)</f>
        <v/>
      </c>
      <c r="GF8" s="39" t="str">
        <f>IF('Seznam zápasů'!I198="","",'Seznam zápasů'!I198)</f>
        <v/>
      </c>
      <c r="GG8" s="39" t="str">
        <f ca="1">IF('Seznam zápasů'!J198="","",'Seznam zápasů'!J198)</f>
        <v>Nadcházející</v>
      </c>
      <c r="GH8" s="42">
        <f>IF('Seznam zápasů'!A214="","",'Seznam zápasů'!A214)</f>
        <v>46396</v>
      </c>
      <c r="GI8" s="39" t="str">
        <f>IF('Seznam zápasů'!B214="","",'Seznam zápasů'!B214)</f>
        <v>So</v>
      </c>
      <c r="GJ8" s="39" t="str">
        <f>IF('Seznam zápasů'!D214="","",'Seznam zápasů'!D214)</f>
        <v>KP + kval. o NF</v>
      </c>
      <c r="GK8" s="39" t="str">
        <f>IF('Seznam zápasů'!E214="","",'Seznam zápasů'!E214)</f>
        <v>BK Brandýs nad Labem kval.</v>
      </c>
      <c r="GL8" s="45" t="str">
        <f>IF('Seznam zápasů'!F214="","",'Seznam zápasů'!F214)</f>
        <v>001</v>
      </c>
      <c r="GM8" s="39" t="str">
        <f>IF('Seznam zápasů'!G214="","",'Seznam zápasů'!G214)</f>
        <v/>
      </c>
      <c r="GN8" s="39" t="str">
        <f>IF('Seznam zápasů'!H214="","",'Seznam zápasů'!H214)</f>
        <v/>
      </c>
      <c r="GO8" s="39" t="str">
        <f>IF('Seznam zápasů'!I214="","",'Seznam zápasů'!I214)</f>
        <v/>
      </c>
      <c r="GP8" s="39" t="str">
        <f ca="1">IF('Seznam zápasů'!J214="","",'Seznam zápasů'!J214)</f>
        <v>Nadcházející</v>
      </c>
      <c r="GQ8" s="42">
        <f>IF('Seznam zápasů'!A274="","",'Seznam zápasů'!A274)</f>
        <v>46424</v>
      </c>
      <c r="GR8" s="39" t="str">
        <f>IF('Seznam zápasů'!B274="","",'Seznam zápasů'!B274)</f>
        <v>So</v>
      </c>
      <c r="GS8" s="39" t="str">
        <f>IF('Seznam zápasů'!D274="","",'Seznam zápasů'!D274)</f>
        <v>KP</v>
      </c>
      <c r="GT8" s="39" t="str">
        <f>IF('Seznam zápasů'!E274="","",'Seznam zápasů'!E274)</f>
        <v>TJ AŠ Mladá Boleslav</v>
      </c>
      <c r="GU8" s="45" t="str">
        <f>IF('Seznam zápasů'!F274="","",'Seznam zápasů'!F274)</f>
        <v>2x 014,034</v>
      </c>
      <c r="GV8" s="39" t="str">
        <f>IF('Seznam zápasů'!G274="","",'Seznam zápasů'!G274)</f>
        <v/>
      </c>
      <c r="GW8" s="39" t="str">
        <f>IF('Seznam zápasů'!H274="","",'Seznam zápasů'!H274)</f>
        <v/>
      </c>
      <c r="GX8" s="39" t="str">
        <f>IF('Seznam zápasů'!I274="","",'Seznam zápasů'!I274)</f>
        <v/>
      </c>
      <c r="GY8" s="39" t="str">
        <f ca="1">IF('Seznam zápasů'!J274="","",'Seznam zápasů'!J274)</f>
        <v>Nadcházející</v>
      </c>
    </row>
    <row r="9" spans="1:216" x14ac:dyDescent="0.2">
      <c r="A9" s="42">
        <f>IF('Seznam zápasů'!A160="","",'Seznam zápasů'!A160)</f>
        <v>46347</v>
      </c>
      <c r="B9" s="39" t="str">
        <f>IF('Seznam zápasů'!B160="","",'Seznam zápasů'!B160)</f>
        <v>So</v>
      </c>
      <c r="C9" s="39" t="str">
        <f>IF('Seznam zápasů'!D160="","",'Seznam zápasů'!D160)</f>
        <v>SBLM</v>
      </c>
      <c r="D9" s="39" t="str">
        <f>IF('Seznam zápasů'!E160="","",'Seznam zápasů'!E160)</f>
        <v>BK Příbram 2000</v>
      </c>
      <c r="E9" s="45" t="str">
        <f>IF('Seznam zápasů'!F160="","",'Seznam zápasů'!F160)</f>
        <v>051</v>
      </c>
      <c r="F9" s="39" t="str">
        <f>IF('Seznam zápasů'!G160="","",'Seznam zápasů'!G160)</f>
        <v/>
      </c>
      <c r="G9" s="39" t="str">
        <f>IF('Seznam zápasů'!H160="","",'Seznam zápasů'!H160)</f>
        <v/>
      </c>
      <c r="H9" s="39" t="str">
        <f>IF('Seznam zápasů'!I160="","",'Seznam zápasů'!I160)</f>
        <v/>
      </c>
      <c r="I9" s="39" t="str">
        <f ca="1">IF('Seznam zápasů'!J160="","",'Seznam zápasů'!J160)</f>
        <v>Nadcházející</v>
      </c>
      <c r="J9" s="42">
        <f>IF('Seznam zápasů'!A150="","",'Seznam zápasů'!A150)</f>
        <v>46341</v>
      </c>
      <c r="K9" s="39" t="str">
        <f>IF('Seznam zápasů'!B150="","",'Seznam zápasů'!B150)</f>
        <v>Ne</v>
      </c>
      <c r="L9" s="39" t="str">
        <f>IF('Seznam zápasů'!D150="","",'Seznam zápasů'!D150)</f>
        <v>KP</v>
      </c>
      <c r="M9" s="39" t="str">
        <f>IF('Seznam zápasů'!E150="","",'Seznam zápasů'!E150)</f>
        <v>Sokol Kutná Hora</v>
      </c>
      <c r="N9" s="45" t="str">
        <f>IF('Seznam zápasů'!F150="","",'Seznam zápasů'!F150)</f>
        <v>026</v>
      </c>
      <c r="O9" s="39" t="str">
        <f>IF('Seznam zápasů'!G150="","",'Seznam zápasů'!G150)</f>
        <v/>
      </c>
      <c r="P9" s="39" t="str">
        <f>IF('Seznam zápasů'!H150="","",'Seznam zápasů'!H150)</f>
        <v/>
      </c>
      <c r="Q9" s="39" t="str">
        <f>IF('Seznam zápasů'!I150="","",'Seznam zápasů'!I150)</f>
        <v/>
      </c>
      <c r="R9" s="39" t="str">
        <f ca="1">IF('Seznam zápasů'!J150="","",'Seznam zápasů'!J150)</f>
        <v>Nadcházející</v>
      </c>
      <c r="S9" s="42">
        <f>IF('Seznam zápasů'!A128="","",'Seznam zápasů'!A128)</f>
        <v>46333</v>
      </c>
      <c r="T9" s="39" t="str">
        <f>IF('Seznam zápasů'!B128="","",'Seznam zápasů'!B128)</f>
        <v>So</v>
      </c>
      <c r="U9" s="39" t="str">
        <f>IF('Seznam zápasů'!D128="","",'Seznam zápasů'!D128)</f>
        <v>II. Liga</v>
      </c>
      <c r="V9" s="39" t="str">
        <f>IF('Seznam zápasů'!E128="","",'Seznam zápasů'!E128)</f>
        <v>Sokol Nusle B</v>
      </c>
      <c r="W9" s="45" t="str">
        <f>IF('Seznam zápasů'!F128="","",'Seznam zápasů'!F128)</f>
        <v>004</v>
      </c>
      <c r="X9" s="39" t="str">
        <f>IF('Seznam zápasů'!G128="","",'Seznam zápasů'!G128)</f>
        <v/>
      </c>
      <c r="Y9" s="39" t="str">
        <f>IF('Seznam zápasů'!H128="","",'Seznam zápasů'!H128)</f>
        <v/>
      </c>
      <c r="Z9" s="39" t="str">
        <f>IF('Seznam zápasů'!I128="","",'Seznam zápasů'!I128)</f>
        <v/>
      </c>
      <c r="AA9" s="39" t="str">
        <f ca="1">IF('Seznam zápasů'!J128="","",'Seznam zápasů'!J128)</f>
        <v>Nadcházející</v>
      </c>
      <c r="AB9" s="42">
        <f>IF('Seznam zápasů'!A137="","",'Seznam zápasů'!A137)</f>
        <v>46334</v>
      </c>
      <c r="AC9" s="39" t="str">
        <f>IF('Seznam zápasů'!B137="","",'Seznam zápasů'!B137)</f>
        <v>Ne</v>
      </c>
      <c r="AD9" s="39" t="str">
        <f>IF('Seznam zápasů'!D137="","",'Seznam zápasů'!D137)</f>
        <v>SBLŽ</v>
      </c>
      <c r="AE9" s="39" t="str">
        <f>IF('Seznam zápasů'!E137="","",'Seznam zápasů'!E137)</f>
        <v>BK Kralupy Junior</v>
      </c>
      <c r="AF9" s="45" t="str">
        <f>IF('Seznam zápasů'!F137="","",'Seznam zápasů'!F137)</f>
        <v>029</v>
      </c>
      <c r="AG9" s="39" t="str">
        <f>IF('Seznam zápasů'!G137="","",'Seznam zápasů'!G137)</f>
        <v/>
      </c>
      <c r="AH9" s="39" t="str">
        <f>IF('Seznam zápasů'!H137="","",'Seznam zápasů'!H137)</f>
        <v/>
      </c>
      <c r="AI9" s="39" t="str">
        <f>IF('Seznam zápasů'!I137="","",'Seznam zápasů'!I137)</f>
        <v/>
      </c>
      <c r="AJ9" s="39" t="str">
        <f ca="1">IF('Seznam zápasů'!J137="","",'Seznam zápasů'!J137)</f>
        <v>Nadcházející</v>
      </c>
      <c r="AK9" s="42">
        <f>IF('Seznam zápasů'!A138="","",'Seznam zápasů'!A138)</f>
        <v>46334</v>
      </c>
      <c r="AL9" s="39" t="str">
        <f>IF('Seznam zápasů'!B138="","",'Seznam zápasů'!B138)</f>
        <v>Ne</v>
      </c>
      <c r="AM9" s="39" t="str">
        <f>IF('Seznam zápasů'!D138="","",'Seznam zápasů'!D138)</f>
        <v>SBLŽ</v>
      </c>
      <c r="AN9" s="39" t="str">
        <f>IF('Seznam zápasů'!E138="","",'Seznam zápasů'!E138)</f>
        <v>BC Slaný</v>
      </c>
      <c r="AO9" s="45" t="str">
        <f>IF('Seznam zápasů'!F138="","",'Seznam zápasů'!F138)</f>
        <v>028</v>
      </c>
      <c r="AP9" s="39" t="str">
        <f>IF('Seznam zápasů'!G138="","",'Seznam zápasů'!G138)</f>
        <v/>
      </c>
      <c r="AQ9" s="39" t="str">
        <f>IF('Seznam zápasů'!H138="","",'Seznam zápasů'!H138)</f>
        <v/>
      </c>
      <c r="AR9" s="39" t="str">
        <f>IF('Seznam zápasů'!I138="","",'Seznam zápasů'!I138)</f>
        <v/>
      </c>
      <c r="AS9" s="39" t="str">
        <f ca="1">IF('Seznam zápasů'!J138="","",'Seznam zápasů'!J138)</f>
        <v>Nadcházející</v>
      </c>
      <c r="AT9" s="42">
        <f>IF('Seznam zápasů'!A139="","",'Seznam zápasů'!A139)</f>
        <v>46340</v>
      </c>
      <c r="AU9" s="39" t="str">
        <f>IF('Seznam zápasů'!B139="","",'Seznam zápasů'!B139)</f>
        <v>So</v>
      </c>
      <c r="AV9" s="39" t="str">
        <f>IF('Seznam zápasů'!D139="","",'Seznam zápasů'!D139)</f>
        <v>NRL</v>
      </c>
      <c r="AW9" s="39" t="str">
        <f>IF('Seznam zápasů'!E139="","",'Seznam zápasů'!E139)</f>
        <v>BK Lions Jindřichův Hradec</v>
      </c>
      <c r="AX9" s="45" t="str">
        <f>IF('Seznam zápasů'!F139="","",'Seznam zápasů'!F139)</f>
        <v>19245</v>
      </c>
      <c r="AY9" s="39" t="str">
        <f>IF('Seznam zápasů'!G139="","",'Seznam zápasů'!G139)</f>
        <v/>
      </c>
      <c r="AZ9" s="39" t="str">
        <f>IF('Seznam zápasů'!H139="","",'Seznam zápasů'!H139)</f>
        <v/>
      </c>
      <c r="BA9" s="39" t="str">
        <f>IF('Seznam zápasů'!I139="","",'Seznam zápasů'!I139)</f>
        <v/>
      </c>
      <c r="BB9" s="39" t="str">
        <f ca="1">IF('Seznam zápasů'!J139="","",'Seznam zápasů'!J139)</f>
        <v>Nadcházející</v>
      </c>
      <c r="BC9" s="42">
        <f>IF('Seznam zápasů'!A119="","",'Seznam zápasů'!A119)</f>
        <v>46333</v>
      </c>
      <c r="BD9" s="39" t="str">
        <f>IF('Seznam zápasů'!B119="","",'Seznam zápasů'!B119)</f>
        <v>So</v>
      </c>
      <c r="BE9" s="39" t="str">
        <f>IF('Seznam zápasů'!D119="","",'Seznam zápasů'!D119)</f>
        <v>nadreg. liga</v>
      </c>
      <c r="BF9" s="39" t="str">
        <f>IF('Seznam zápasů'!E119="","",'Seznam zápasů'!E119)</f>
        <v>Slovan Varnsdorf B</v>
      </c>
      <c r="BG9" s="45" t="str">
        <f>IF('Seznam zápasů'!F119="","",'Seznam zápasů'!F119)</f>
        <v>17150</v>
      </c>
      <c r="BH9" s="39" t="str">
        <f>IF('Seznam zápasů'!G119="","",'Seznam zápasů'!G119)</f>
        <v/>
      </c>
      <c r="BI9" s="39" t="str">
        <f>IF('Seznam zápasů'!H119="","",'Seznam zápasů'!H119)</f>
        <v/>
      </c>
      <c r="BJ9" s="39" t="str">
        <f>IF('Seznam zápasů'!I119="","",'Seznam zápasů'!I119)</f>
        <v/>
      </c>
      <c r="BK9" s="39" t="str">
        <f ca="1">IF('Seznam zápasů'!J119="","",'Seznam zápasů'!J119)</f>
        <v>Nadcházející</v>
      </c>
      <c r="BL9" s="42">
        <f>IF('Seznam zápasů'!A120="","",'Seznam zápasů'!A120)</f>
        <v>46333</v>
      </c>
      <c r="BM9" s="39" t="str">
        <f>IF('Seznam zápasů'!B120="","",'Seznam zápasů'!B120)</f>
        <v>So</v>
      </c>
      <c r="BN9" s="39" t="str">
        <f>IF('Seznam zápasů'!D120="","",'Seznam zápasů'!D120)</f>
        <v>celostátní liga</v>
      </c>
      <c r="BO9" s="39" t="str">
        <f>IF('Seznam zápasů'!E120="","",'Seznam zápasů'!E120)</f>
        <v>Tigers České Budějovice</v>
      </c>
      <c r="BP9" s="45" t="str">
        <f>IF('Seznam zápasů'!F120="","",'Seznam zápasů'!F120)</f>
        <v>058</v>
      </c>
      <c r="BQ9" s="39" t="str">
        <f>IF('Seznam zápasů'!G120="","",'Seznam zápasů'!G120)</f>
        <v/>
      </c>
      <c r="BR9" s="39" t="str">
        <f>IF('Seznam zápasů'!H120="","",'Seznam zápasů'!H120)</f>
        <v/>
      </c>
      <c r="BS9" s="39" t="str">
        <f>IF('Seznam zápasů'!I120="","",'Seznam zápasů'!I120)</f>
        <v/>
      </c>
      <c r="BT9" s="39" t="str">
        <f ca="1">IF('Seznam zápasů'!J120="","",'Seznam zápasů'!J120)</f>
        <v>Nadcházející</v>
      </c>
      <c r="BU9" s="42">
        <f>IF('Seznam zápasů'!A121="","",'Seznam zápasů'!A121)</f>
        <v>46333</v>
      </c>
      <c r="BV9" s="39" t="str">
        <f>IF('Seznam zápasů'!B121="","",'Seznam zápasů'!B121)</f>
        <v>So</v>
      </c>
      <c r="BW9" s="39" t="str">
        <f>IF('Seznam zápasů'!D121="","",'Seznam zápasů'!D121)</f>
        <v>nadreg. liga</v>
      </c>
      <c r="BX9" s="39" t="str">
        <f>IF('Seznam zápasů'!E121="","",'Seznam zápasů'!E121)</f>
        <v>BK Teplice</v>
      </c>
      <c r="BY9" s="45" t="str">
        <f>IF('Seznam zápasů'!F121="","",'Seznam zápasů'!F121)</f>
        <v>17572</v>
      </c>
      <c r="BZ9" s="39" t="str">
        <f>IF('Seznam zápasů'!G121="","",'Seznam zápasů'!G121)</f>
        <v/>
      </c>
      <c r="CA9" s="39" t="str">
        <f>IF('Seznam zápasů'!H121="","",'Seznam zápasů'!H121)</f>
        <v/>
      </c>
      <c r="CB9" s="39" t="str">
        <f>IF('Seznam zápasů'!I121="","",'Seznam zápasů'!I121)</f>
        <v/>
      </c>
      <c r="CC9" s="39" t="str">
        <f ca="1">IF('Seznam zápasů'!J121="","",'Seznam zápasů'!J121)</f>
        <v>Nadcházející</v>
      </c>
      <c r="CD9" s="42">
        <f>IF('Seznam zápasů'!A145="","",'Seznam zápasů'!A145)</f>
        <v>46340</v>
      </c>
      <c r="CE9" s="39" t="str">
        <f>IF('Seznam zápasů'!B145="","",'Seznam zápasů'!B145)</f>
        <v>So</v>
      </c>
      <c r="CF9" s="39" t="str">
        <f>IF('Seznam zápasů'!D145="","",'Seznam zápasů'!D145)</f>
        <v>žákovská liga</v>
      </c>
      <c r="CG9" s="39" t="str">
        <f>IF('Seznam zápasů'!E145="","",'Seznam zápasů'!E145)</f>
        <v>BA Radotín</v>
      </c>
      <c r="CH9" s="45" t="str">
        <f>IF('Seznam zápasů'!F145="","",'Seznam zápasů'!F145)</f>
        <v>002</v>
      </c>
      <c r="CI9" s="39" t="str">
        <f>IF('Seznam zápasů'!G145="","",'Seznam zápasů'!G145)</f>
        <v/>
      </c>
      <c r="CJ9" s="39" t="str">
        <f>IF('Seznam zápasů'!H145="","",'Seznam zápasů'!H145)</f>
        <v/>
      </c>
      <c r="CK9" s="39" t="str">
        <f>IF('Seznam zápasů'!I145="","",'Seznam zápasů'!I145)</f>
        <v/>
      </c>
      <c r="CL9" s="39" t="str">
        <f ca="1">IF('Seznam zápasů'!J145="","",'Seznam zápasů'!J145)</f>
        <v>Nadcházející</v>
      </c>
      <c r="CM9" s="42">
        <f>IF('Seznam zápasů'!A146="","",'Seznam zápasů'!A146)</f>
        <v>46340</v>
      </c>
      <c r="CN9" s="39" t="str">
        <f>IF('Seznam zápasů'!B146="","",'Seznam zápasů'!B146)</f>
        <v>So</v>
      </c>
      <c r="CO9" s="39" t="str">
        <f>IF('Seznam zápasů'!D146="","",'Seznam zápasů'!D146)</f>
        <v>žákovská liga</v>
      </c>
      <c r="CP9" s="39" t="str">
        <f>IF('Seznam zápasů'!E146="","",'Seznam zápasů'!E146)</f>
        <v>HB Basket Praha</v>
      </c>
      <c r="CQ9" s="45" t="str">
        <f>IF('Seznam zápasů'!F146="","",'Seznam zápasů'!F146)</f>
        <v>001</v>
      </c>
      <c r="CR9" s="39" t="str">
        <f>IF('Seznam zápasů'!G146="","",'Seznam zápasů'!G146)</f>
        <v/>
      </c>
      <c r="CS9" s="39" t="str">
        <f>IF('Seznam zápasů'!H146="","",'Seznam zápasů'!H146)</f>
        <v/>
      </c>
      <c r="CT9" s="39" t="str">
        <f>IF('Seznam zápasů'!I146="","",'Seznam zápasů'!I146)</f>
        <v/>
      </c>
      <c r="CU9" s="39" t="str">
        <f ca="1">IF('Seznam zápasů'!J146="","",'Seznam zápasů'!J146)</f>
        <v>Nadcházející</v>
      </c>
      <c r="CV9" s="42">
        <f>IF('Seznam zápasů'!A153="","",'Seznam zápasů'!A153)</f>
        <v>46341</v>
      </c>
      <c r="CW9" s="39" t="str">
        <f>IF('Seznam zápasů'!B153="","",'Seznam zápasů'!B153)</f>
        <v>Ne</v>
      </c>
      <c r="CX9" s="39" t="str">
        <f>IF('Seznam zápasů'!D153="","",'Seznam zápasů'!D153)</f>
        <v>nadreg. Liga</v>
      </c>
      <c r="CY9" s="39" t="str">
        <f>IF('Seznam zápasů'!E153="","",'Seznam zápasů'!E153)</f>
        <v>Sokol Nusle</v>
      </c>
      <c r="CZ9" s="45" t="str">
        <f>IF('Seznam zápasů'!F153="","",'Seznam zápasů'!F153)</f>
        <v>065</v>
      </c>
      <c r="DA9" s="39" t="str">
        <f>IF('Seznam zápasů'!G153="","",'Seznam zápasů'!G153)</f>
        <v/>
      </c>
      <c r="DB9" s="39" t="str">
        <f>IF('Seznam zápasů'!H153="","",'Seznam zápasů'!H153)</f>
        <v/>
      </c>
      <c r="DC9" s="39" t="str">
        <f>IF('Seznam zápasů'!I153="","",'Seznam zápasů'!I153)</f>
        <v/>
      </c>
      <c r="DD9" s="39" t="str">
        <f ca="1">IF('Seznam zápasů'!J153="","",'Seznam zápasů'!J153)</f>
        <v>Nadcházející</v>
      </c>
      <c r="DE9" s="42">
        <f>IF('Seznam zápasů'!A100="","",'Seznam zápasů'!A100)</f>
        <v>46313</v>
      </c>
      <c r="DF9" s="39" t="str">
        <f>IF('Seznam zápasů'!B100="","",'Seznam zápasů'!B100)</f>
        <v>Ne</v>
      </c>
      <c r="DG9" s="39" t="str">
        <f>IF('Seznam zápasů'!D100="","",'Seznam zápasů'!D100)</f>
        <v>žákovská liga</v>
      </c>
      <c r="DH9" s="39" t="str">
        <f>IF('Seznam zápasů'!E100="","",'Seznam zápasů'!E100)</f>
        <v>BA Radotín</v>
      </c>
      <c r="DI9" s="45" t="str">
        <f>IF('Seznam zápasů'!F100="","",'Seznam zápasů'!F100)</f>
        <v>106</v>
      </c>
      <c r="DJ9" s="39" t="str">
        <f>IF('Seznam zápasů'!G100="","",'Seznam zápasů'!G100)</f>
        <v/>
      </c>
      <c r="DK9" s="39" t="str">
        <f>IF('Seznam zápasů'!H100="","",'Seznam zápasů'!H100)</f>
        <v/>
      </c>
      <c r="DL9" s="39" t="str">
        <f>IF('Seznam zápasů'!I100="","",'Seznam zápasů'!I100)</f>
        <v/>
      </c>
      <c r="DM9" s="39" t="str">
        <f ca="1">IF('Seznam zápasů'!J100="","",'Seznam zápasů'!J100)</f>
        <v>Nadcházející</v>
      </c>
      <c r="DN9" s="42">
        <f>IF('Seznam zápasů'!A134="","",'Seznam zápasů'!A134)</f>
        <v>46334</v>
      </c>
      <c r="DO9" s="39" t="str">
        <f>IF('Seznam zápasů'!B134="","",'Seznam zápasů'!B134)</f>
        <v>Ne</v>
      </c>
      <c r="DP9" s="39" t="str">
        <f>IF('Seznam zápasů'!D134="","",'Seznam zápasů'!D134)</f>
        <v>žákovská liga</v>
      </c>
      <c r="DQ9" s="39" t="str">
        <f>IF('Seznam zápasů'!E134="","",'Seznam zápasů'!E134)</f>
        <v>Vlčice Žďár</v>
      </c>
      <c r="DR9" s="45" t="str">
        <f>IF('Seznam zápasů'!F134="","",'Seznam zápasů'!F134)</f>
        <v>139</v>
      </c>
      <c r="DS9" s="39" t="str">
        <f>IF('Seznam zápasů'!G134="","",'Seznam zápasů'!G134)</f>
        <v/>
      </c>
      <c r="DT9" s="39" t="str">
        <f>IF('Seznam zápasů'!H134="","",'Seznam zápasů'!H134)</f>
        <v/>
      </c>
      <c r="DU9" s="39" t="str">
        <f>IF('Seznam zápasů'!I134="","",'Seznam zápasů'!I134)</f>
        <v/>
      </c>
      <c r="DV9" s="39" t="str">
        <f ca="1">IF('Seznam zápasů'!J134="","",'Seznam zápasů'!J134)</f>
        <v>Nadcházející</v>
      </c>
      <c r="DW9" s="42">
        <f>IF('Seznam zápasů'!A163="","",'Seznam zápasů'!A163)</f>
        <v>46347</v>
      </c>
      <c r="DX9" s="39" t="str">
        <f>IF('Seznam zápasů'!B163="","",'Seznam zápasů'!B163)</f>
        <v>So</v>
      </c>
      <c r="DY9" s="39" t="str">
        <f>IF('Seznam zápasů'!D163="","",'Seznam zápasů'!D163)</f>
        <v>nadreg. liga</v>
      </c>
      <c r="DZ9" s="39" t="str">
        <f>IF('Seznam zápasů'!E163="","",'Seznam zápasů'!E163)</f>
        <v>Basket Říčany</v>
      </c>
      <c r="EA9" s="45" t="str">
        <f>IF('Seznam zápasů'!F163="","",'Seznam zápasů'!F163)</f>
        <v>023</v>
      </c>
      <c r="EB9" s="39" t="str">
        <f>IF('Seznam zápasů'!G163="","",'Seznam zápasů'!G163)</f>
        <v/>
      </c>
      <c r="EC9" s="39" t="str">
        <f>IF('Seznam zápasů'!H163="","",'Seznam zápasů'!H163)</f>
        <v/>
      </c>
      <c r="ED9" s="39" t="str">
        <f>IF('Seznam zápasů'!I163="","",'Seznam zápasů'!I163)</f>
        <v/>
      </c>
      <c r="EE9" s="39" t="str">
        <f ca="1">IF('Seznam zápasů'!J163="","",'Seznam zápasů'!J163)</f>
        <v>Nadcházející</v>
      </c>
      <c r="EF9" s="42">
        <f>IF('Seznam zápasů'!A141="","",'Seznam zápasů'!A141)</f>
        <v>46340</v>
      </c>
      <c r="EG9" s="39" t="str">
        <f>IF('Seznam zápasů'!B141="","",'Seznam zápasů'!B141)</f>
        <v>So</v>
      </c>
      <c r="EH9" s="39" t="str">
        <f>IF('Seznam zápasů'!D141="","",'Seznam zápasů'!D141)</f>
        <v>KP + kval. o NF</v>
      </c>
      <c r="EI9" s="39" t="str">
        <f>IF('Seznam zápasů'!E141="","",'Seznam zápasů'!E141)</f>
        <v>Basketbal Újezd nad Lesy</v>
      </c>
      <c r="EJ9" s="45" t="str">
        <f>IF('Seznam zápasů'!F141="","",'Seznam zápasů'!F141)</f>
        <v>021</v>
      </c>
      <c r="EK9" s="39" t="str">
        <f>IF('Seznam zápasů'!G141="","",'Seznam zápasů'!G141)</f>
        <v/>
      </c>
      <c r="EL9" s="39" t="str">
        <f>IF('Seznam zápasů'!H141="","",'Seznam zápasů'!H141)</f>
        <v/>
      </c>
      <c r="EM9" s="39" t="str">
        <f>IF('Seznam zápasů'!I141="","",'Seznam zápasů'!I141)</f>
        <v/>
      </c>
      <c r="EN9" s="39" t="str">
        <f ca="1">IF('Seznam zápasů'!J141="","",'Seznam zápasů'!J141)</f>
        <v>Nadcházející</v>
      </c>
      <c r="EO9" s="42">
        <f>IF('Seznam zápasů'!A231="","",'Seznam zápasů'!A231)</f>
        <v>46403</v>
      </c>
      <c r="EP9" s="39" t="str">
        <f>IF('Seznam zápasů'!B231="","",'Seznam zápasů'!B231)</f>
        <v>So</v>
      </c>
      <c r="EQ9" s="39" t="str">
        <f>IF('Seznam zápasů'!D231="","",'Seznam zápasů'!D231)</f>
        <v>KP + kval. o NF</v>
      </c>
      <c r="ER9" s="39" t="str">
        <f>IF('Seznam zápasů'!E231="","",'Seznam zápasů'!E231)</f>
        <v>Nymburk-BN-Brandýs 001-003</v>
      </c>
      <c r="ES9" s="45" t="str">
        <f>IF('Seznam zápasů'!F231="","",'Seznam zápasů'!F231)</f>
        <v/>
      </c>
      <c r="ET9" s="39" t="str">
        <f>IF('Seznam zápasů'!G231="","",'Seznam zápasů'!G231)</f>
        <v/>
      </c>
      <c r="EU9" s="39" t="str">
        <f>IF('Seznam zápasů'!H231="","",'Seznam zápasů'!H231)</f>
        <v/>
      </c>
      <c r="EV9" s="39" t="str">
        <f>IF('Seznam zápasů'!I231="","",'Seznam zápasů'!I231)</f>
        <v/>
      </c>
      <c r="EW9" s="39" t="str">
        <f ca="1">IF('Seznam zápasů'!J231="","",'Seznam zápasů'!J231)</f>
        <v>Nadcházející</v>
      </c>
      <c r="EX9" s="42">
        <f>IF('Seznam zápasů'!A213="","",'Seznam zápasů'!A213)</f>
        <v>46396</v>
      </c>
      <c r="EY9" s="39" t="str">
        <f>IF('Seznam zápasů'!B213="","",'Seznam zápasů'!B213)</f>
        <v>So</v>
      </c>
      <c r="EZ9" s="39" t="str">
        <f>IF('Seznam zápasů'!D213="","",'Seznam zápasů'!D213)</f>
        <v>KP + kval. o NF</v>
      </c>
      <c r="FA9" s="39" t="str">
        <f>IF('Seznam zápasů'!E213="","",'Seznam zápasů'!E213)</f>
        <v>BN-Brandýs-Nymburk 001-003</v>
      </c>
      <c r="FB9" s="45" t="str">
        <f>IF('Seznam zápasů'!F213="","",'Seznam zápasů'!F213)</f>
        <v/>
      </c>
      <c r="FC9" s="39" t="str">
        <f>IF('Seznam zápasů'!G213="","",'Seznam zápasů'!G213)</f>
        <v/>
      </c>
      <c r="FD9" s="39" t="str">
        <f>IF('Seznam zápasů'!H213="","",'Seznam zápasů'!H213)</f>
        <v/>
      </c>
      <c r="FE9" s="39" t="str">
        <f>IF('Seznam zápasů'!I213="","",'Seznam zápasů'!I213)</f>
        <v/>
      </c>
      <c r="FF9" s="39" t="str">
        <f ca="1">IF('Seznam zápasů'!J213="","",'Seznam zápasů'!J213)</f>
        <v>Nadcházející</v>
      </c>
      <c r="FG9" s="42">
        <f>IF('Seznam zápasů'!A305="","",'Seznam zápasů'!A305)</f>
        <v>46438</v>
      </c>
      <c r="FH9" s="39" t="str">
        <f>IF('Seznam zápasů'!B305="","",'Seznam zápasů'!B305)</f>
        <v>So</v>
      </c>
      <c r="FI9" s="39" t="str">
        <f>IF('Seznam zápasů'!D305="","",'Seznam zápasů'!D305)</f>
        <v>KP</v>
      </c>
      <c r="FJ9" s="39" t="str">
        <f>IF('Seznam zápasů'!E305="","",'Seznam zápasů'!E305)</f>
        <v>BC Slaný</v>
      </c>
      <c r="FK9" s="45" t="str">
        <f>IF('Seznam zápasů'!F305="","",'Seznam zápasů'!F305)</f>
        <v>2x 016,036</v>
      </c>
      <c r="FL9" s="39" t="str">
        <f>IF('Seznam zápasů'!G305="","",'Seznam zápasů'!G305)</f>
        <v/>
      </c>
      <c r="FM9" s="39" t="str">
        <f>IF('Seznam zápasů'!H305="","",'Seznam zápasů'!H305)</f>
        <v/>
      </c>
      <c r="FN9" s="39" t="str">
        <f>IF('Seznam zápasů'!I305="","",'Seznam zápasů'!I305)</f>
        <v/>
      </c>
      <c r="FO9" s="39" t="str">
        <f ca="1">IF('Seznam zápasů'!J305="","",'Seznam zápasů'!J305)</f>
        <v>Nadcházející</v>
      </c>
      <c r="FP9" s="42">
        <f>IF('Seznam zápasů'!A115="","",'Seznam zápasů'!A115)</f>
        <v>46320</v>
      </c>
      <c r="FQ9" s="39" t="str">
        <f>IF('Seznam zápasů'!B115="","",'Seznam zápasů'!B115)</f>
        <v>Ne</v>
      </c>
      <c r="FR9" s="39" t="str">
        <f>IF('Seznam zápasů'!D115="","",'Seznam zápasů'!D115)</f>
        <v>KP + kval. o NF</v>
      </c>
      <c r="FS9" s="39" t="str">
        <f>IF('Seznam zápasů'!E115="","",'Seznam zápasů'!E115)</f>
        <v>HB Basket</v>
      </c>
      <c r="FT9" s="45" t="str">
        <f>IF('Seznam zápasů'!F115="","",'Seznam zápasů'!F115)</f>
        <v>045</v>
      </c>
      <c r="FU9" s="39" t="str">
        <f>IF('Seznam zápasů'!G115="","",'Seznam zápasů'!G115)</f>
        <v/>
      </c>
      <c r="FV9" s="39" t="str">
        <f>IF('Seznam zápasů'!H115="","",'Seznam zápasů'!H115)</f>
        <v/>
      </c>
      <c r="FW9" s="39" t="str">
        <f>IF('Seznam zápasů'!I115="","",'Seznam zápasů'!I115)</f>
        <v/>
      </c>
      <c r="FX9" s="39" t="str">
        <f ca="1">IF('Seznam zápasů'!J115="","",'Seznam zápasů'!J115)</f>
        <v>Nadcházející</v>
      </c>
      <c r="FY9" s="42">
        <f>IF('Seznam zápasů'!A243="","",'Seznam zápasů'!A243)</f>
        <v>46404</v>
      </c>
      <c r="FZ9" s="39" t="str">
        <f>IF('Seznam zápasů'!B243="","",'Seznam zápasů'!B243)</f>
        <v>Ne</v>
      </c>
      <c r="GA9" s="39" t="str">
        <f>IF('Seznam zápasů'!D243="","",'Seznam zápasů'!D243)</f>
        <v>KP + kval. o NF</v>
      </c>
      <c r="GB9" s="39" t="str">
        <f>IF('Seznam zápasů'!E243="","",'Seznam zápasů'!E243)</f>
        <v>ŠBK Sadská kval.</v>
      </c>
      <c r="GC9" s="45" t="str">
        <f>IF('Seznam zápasů'!F243="","",'Seznam zápasů'!F243)</f>
        <v>002</v>
      </c>
      <c r="GD9" s="39" t="str">
        <f>IF('Seznam zápasů'!G243="","",'Seznam zápasů'!G243)</f>
        <v/>
      </c>
      <c r="GE9" s="39" t="str">
        <f>IF('Seznam zápasů'!H243="","",'Seznam zápasů'!H243)</f>
        <v/>
      </c>
      <c r="GF9" s="39" t="str">
        <f>IF('Seznam zápasů'!I243="","",'Seznam zápasů'!I243)</f>
        <v/>
      </c>
      <c r="GG9" s="39" t="str">
        <f ca="1">IF('Seznam zápasů'!J243="","",'Seznam zápasů'!J243)</f>
        <v>Nadcházející</v>
      </c>
      <c r="GH9" s="42">
        <f>IF('Seznam zápasů'!A221="","",'Seznam zápasů'!A221)</f>
        <v>46397</v>
      </c>
      <c r="GI9" s="39" t="str">
        <f>IF('Seznam zápasů'!B221="","",'Seznam zápasů'!B221)</f>
        <v>Ne</v>
      </c>
      <c r="GJ9" s="39" t="str">
        <f>IF('Seznam zápasů'!D221="","",'Seznam zápasů'!D221)</f>
        <v>KP + kval. o NF</v>
      </c>
      <c r="GK9" s="39" t="str">
        <f>IF('Seznam zápasů'!E221="","",'Seznam zápasů'!E221)</f>
        <v>BC Slaný kval.</v>
      </c>
      <c r="GL9" s="45" t="str">
        <f>IF('Seznam zápasů'!F221="","",'Seznam zápasů'!F221)</f>
        <v>003</v>
      </c>
      <c r="GM9" s="39" t="str">
        <f>IF('Seznam zápasů'!G221="","",'Seznam zápasů'!G221)</f>
        <v/>
      </c>
      <c r="GN9" s="39" t="str">
        <f>IF('Seznam zápasů'!H221="","",'Seznam zápasů'!H221)</f>
        <v/>
      </c>
      <c r="GO9" s="39" t="str">
        <f>IF('Seznam zápasů'!I221="","",'Seznam zápasů'!I221)</f>
        <v/>
      </c>
      <c r="GP9" s="39" t="str">
        <f ca="1">IF('Seznam zápasů'!J221="","",'Seznam zápasů'!J221)</f>
        <v>Nadcházející</v>
      </c>
      <c r="GQ9" s="42">
        <f>IF('Seznam zápasů'!A331="","",'Seznam zápasů'!A331)</f>
        <v>46452</v>
      </c>
      <c r="GR9" s="39" t="str">
        <f>IF('Seznam zápasů'!B331="","",'Seznam zápasů'!B331)</f>
        <v>So</v>
      </c>
      <c r="GS9" s="39" t="str">
        <f>IF('Seznam zápasů'!D331="","",'Seznam zápasů'!D331)</f>
        <v>KP</v>
      </c>
      <c r="GT9" s="39" t="str">
        <f>IF('Seznam zápasů'!E331="","",'Seznam zápasů'!E331)</f>
        <v>BK Mělník</v>
      </c>
      <c r="GU9" s="45" t="str">
        <f>IF('Seznam zápasů'!F331="","",'Seznam zápasů'!F331)</f>
        <v>2x 018,038</v>
      </c>
      <c r="GV9" s="39" t="str">
        <f>IF('Seznam zápasů'!G331="","",'Seznam zápasů'!G331)</f>
        <v/>
      </c>
      <c r="GW9" s="39" t="str">
        <f>IF('Seznam zápasů'!H331="","",'Seznam zápasů'!H331)</f>
        <v/>
      </c>
      <c r="GX9" s="39" t="str">
        <f>IF('Seznam zápasů'!I331="","",'Seznam zápasů'!I331)</f>
        <v/>
      </c>
      <c r="GY9" s="39" t="str">
        <f ca="1">IF('Seznam zápasů'!J331="","",'Seznam zápasů'!J331)</f>
        <v>Nadcházející</v>
      </c>
    </row>
    <row r="10" spans="1:216" x14ac:dyDescent="0.2">
      <c r="A10" s="42">
        <f>IF('Seznam zápasů'!A171="","",'Seznam zápasů'!A171)</f>
        <v>46348</v>
      </c>
      <c r="B10" s="39" t="str">
        <f>IF('Seznam zápasů'!B171="","",'Seznam zápasů'!B171)</f>
        <v>Ne</v>
      </c>
      <c r="C10" s="39" t="str">
        <f>IF('Seznam zápasů'!D171="","",'Seznam zápasů'!D171)</f>
        <v>SBLM</v>
      </c>
      <c r="D10" s="39" t="str">
        <f>IF('Seznam zápasů'!E171="","",'Seznam zápasů'!E171)</f>
        <v>BK Beroun</v>
      </c>
      <c r="E10" s="45" t="str">
        <f>IF('Seznam zápasů'!F171="","",'Seznam zápasů'!F171)</f>
        <v>056</v>
      </c>
      <c r="F10" s="39" t="str">
        <f>IF('Seznam zápasů'!G171="","",'Seznam zápasů'!G171)</f>
        <v/>
      </c>
      <c r="G10" s="39" t="str">
        <f>IF('Seznam zápasů'!H171="","",'Seznam zápasů'!H171)</f>
        <v/>
      </c>
      <c r="H10" s="39" t="str">
        <f>IF('Seznam zápasů'!I171="","",'Seznam zápasů'!I171)</f>
        <v/>
      </c>
      <c r="I10" s="39" t="str">
        <f ca="1">IF('Seznam zápasů'!J171="","",'Seznam zápasů'!J171)</f>
        <v>Nadcházející</v>
      </c>
      <c r="J10" s="42">
        <f>IF('Seznam zápasů'!A182="","",'Seznam zápasů'!A182)</f>
        <v>46361</v>
      </c>
      <c r="K10" s="39" t="str">
        <f>IF('Seznam zápasů'!B182="","",'Seznam zápasů'!B182)</f>
        <v>So</v>
      </c>
      <c r="L10" s="39" t="str">
        <f>IF('Seznam zápasů'!D182="","",'Seznam zápasů'!D182)</f>
        <v>KP</v>
      </c>
      <c r="M10" s="39" t="str">
        <f>IF('Seznam zápasů'!E182="","",'Seznam zápasů'!E182)</f>
        <v>TJ TZ Rakovník</v>
      </c>
      <c r="N10" s="45" t="str">
        <f>IF('Seznam zápasů'!F182="","",'Seznam zápasů'!F182)</f>
        <v>031</v>
      </c>
      <c r="O10" s="39" t="str">
        <f>IF('Seznam zápasů'!G182="","",'Seznam zápasů'!G182)</f>
        <v/>
      </c>
      <c r="P10" s="39" t="str">
        <f>IF('Seznam zápasů'!H182="","",'Seznam zápasů'!H182)</f>
        <v/>
      </c>
      <c r="Q10" s="39" t="str">
        <f>IF('Seznam zápasů'!I182="","",'Seznam zápasů'!I182)</f>
        <v/>
      </c>
      <c r="R10" s="39" t="str">
        <f ca="1">IF('Seznam zápasů'!J182="","",'Seznam zápasů'!J182)</f>
        <v>Nadcházející</v>
      </c>
      <c r="S10" s="42">
        <f>IF('Seznam zápasů'!A136="","",'Seznam zápasů'!A136)</f>
        <v>46334</v>
      </c>
      <c r="T10" s="39" t="str">
        <f>IF('Seznam zápasů'!B136="","",'Seznam zápasů'!B136)</f>
        <v>Ne</v>
      </c>
      <c r="U10" s="39" t="str">
        <f>IF('Seznam zápasů'!D136="","",'Seznam zápasů'!D136)</f>
        <v>II. Liga</v>
      </c>
      <c r="V10" s="39" t="str">
        <f>IF('Seznam zápasů'!E136="","",'Seznam zápasů'!E136)</f>
        <v>Sokol Nusle B</v>
      </c>
      <c r="W10" s="45" t="str">
        <f>IF('Seznam zápasů'!F136="","",'Seznam zápasů'!F136)</f>
        <v>032</v>
      </c>
      <c r="X10" s="39" t="str">
        <f>IF('Seznam zápasů'!G136="","",'Seznam zápasů'!G136)</f>
        <v/>
      </c>
      <c r="Y10" s="39" t="str">
        <f>IF('Seznam zápasů'!H136="","",'Seznam zápasů'!H136)</f>
        <v/>
      </c>
      <c r="Z10" s="39" t="str">
        <f>IF('Seznam zápasů'!I136="","",'Seznam zápasů'!I136)</f>
        <v/>
      </c>
      <c r="AA10" s="39" t="str">
        <f ca="1">IF('Seznam zápasů'!J136="","",'Seznam zápasů'!J136)</f>
        <v>Nadcházející</v>
      </c>
      <c r="AB10" s="42">
        <f>IF('Seznam zápasů'!A165="","",'Seznam zápasů'!A165)</f>
        <v>46347</v>
      </c>
      <c r="AC10" s="39" t="str">
        <f>IF('Seznam zápasů'!B165="","",'Seznam zápasů'!B165)</f>
        <v>So</v>
      </c>
      <c r="AD10" s="39" t="str">
        <f>IF('Seznam zápasů'!D165="","",'Seznam zápasů'!D165)</f>
        <v>SBLŽ</v>
      </c>
      <c r="AE10" s="39" t="str">
        <f>IF('Seznam zápasů'!E165="","",'Seznam zápasů'!E165)</f>
        <v>BC Benešov "C"</v>
      </c>
      <c r="AF10" s="45" t="str">
        <f>IF('Seznam zápasů'!F165="","",'Seznam zápasů'!F165)</f>
        <v>030</v>
      </c>
      <c r="AG10" s="39" t="str">
        <f>IF('Seznam zápasů'!G165="","",'Seznam zápasů'!G165)</f>
        <v/>
      </c>
      <c r="AH10" s="39" t="str">
        <f>IF('Seznam zápasů'!H165="","",'Seznam zápasů'!H165)</f>
        <v/>
      </c>
      <c r="AI10" s="39" t="str">
        <f>IF('Seznam zápasů'!I165="","",'Seznam zápasů'!I165)</f>
        <v/>
      </c>
      <c r="AJ10" s="39" t="str">
        <f ca="1">IF('Seznam zápasů'!J165="","",'Seznam zápasů'!J165)</f>
        <v>Nadcházející</v>
      </c>
      <c r="AK10" s="42">
        <f>IF('Seznam zápasů'!A166="","",'Seznam zápasů'!A166)</f>
        <v>46347</v>
      </c>
      <c r="AL10" s="39" t="str">
        <f>IF('Seznam zápasů'!B166="","",'Seznam zápasů'!B166)</f>
        <v>So</v>
      </c>
      <c r="AM10" s="39" t="str">
        <f>IF('Seznam zápasů'!D166="","",'Seznam zápasů'!D166)</f>
        <v>SBLŽ</v>
      </c>
      <c r="AN10" s="39" t="str">
        <f>IF('Seznam zápasů'!E166="","",'Seznam zápasů'!E166)</f>
        <v>BC Benešov "B"</v>
      </c>
      <c r="AO10" s="45" t="str">
        <f>IF('Seznam zápasů'!F166="","",'Seznam zápasů'!F166)</f>
        <v>030</v>
      </c>
      <c r="AP10" s="39" t="str">
        <f>IF('Seznam zápasů'!G166="","",'Seznam zápasů'!G166)</f>
        <v/>
      </c>
      <c r="AQ10" s="39" t="str">
        <f>IF('Seznam zápasů'!H166="","",'Seznam zápasů'!H166)</f>
        <v/>
      </c>
      <c r="AR10" s="39" t="str">
        <f>IF('Seznam zápasů'!I166="","",'Seznam zápasů'!I166)</f>
        <v/>
      </c>
      <c r="AS10" s="39" t="str">
        <f ca="1">IF('Seznam zápasů'!J166="","",'Seznam zápasů'!J166)</f>
        <v>Nadcházející</v>
      </c>
      <c r="AT10" s="42">
        <f>IF('Seznam zápasů'!A148="","",'Seznam zápasů'!A148)</f>
        <v>46341</v>
      </c>
      <c r="AU10" s="39" t="str">
        <f>IF('Seznam zápasů'!B148="","",'Seznam zápasů'!B148)</f>
        <v>Ne</v>
      </c>
      <c r="AV10" s="39" t="str">
        <f>IF('Seznam zápasů'!D148="","",'Seznam zápasů'!D148)</f>
        <v>NRL</v>
      </c>
      <c r="AW10" s="39" t="str">
        <f>IF('Seznam zápasů'!E148="","",'Seznam zápasů'!E148)</f>
        <v>Tigers České Budějovice</v>
      </c>
      <c r="AX10" s="45" t="str">
        <f>IF('Seznam zápasů'!F148="","",'Seznam zápasů'!F148)</f>
        <v>19249</v>
      </c>
      <c r="AY10" s="39" t="str">
        <f>IF('Seznam zápasů'!G148="","",'Seznam zápasů'!G148)</f>
        <v/>
      </c>
      <c r="AZ10" s="39" t="str">
        <f>IF('Seznam zápasů'!H148="","",'Seznam zápasů'!H148)</f>
        <v/>
      </c>
      <c r="BA10" s="39" t="str">
        <f>IF('Seznam zápasů'!I148="","",'Seznam zápasů'!I148)</f>
        <v/>
      </c>
      <c r="BB10" s="39" t="str">
        <f ca="1">IF('Seznam zápasů'!J148="","",'Seznam zápasů'!J148)</f>
        <v>Nadcházející</v>
      </c>
      <c r="BC10" s="42">
        <f>IF('Seznam zápasů'!A131="","",'Seznam zápasů'!A131)</f>
        <v>46334</v>
      </c>
      <c r="BD10" s="39" t="str">
        <f>IF('Seznam zápasů'!B131="","",'Seznam zápasů'!B131)</f>
        <v>Ne</v>
      </c>
      <c r="BE10" s="39" t="str">
        <f>IF('Seznam zápasů'!D131="","",'Seznam zápasů'!D131)</f>
        <v>nadreg. liga</v>
      </c>
      <c r="BF10" s="39" t="str">
        <f>IF('Seznam zápasů'!E131="","",'Seznam zápasů'!E131)</f>
        <v>BA Lynx Liberecko B</v>
      </c>
      <c r="BG10" s="45" t="str">
        <f>IF('Seznam zápasů'!F131="","",'Seznam zápasů'!F131)</f>
        <v>17157</v>
      </c>
      <c r="BH10" s="39" t="str">
        <f>IF('Seznam zápasů'!G131="","",'Seznam zápasů'!G131)</f>
        <v/>
      </c>
      <c r="BI10" s="39" t="str">
        <f>IF('Seznam zápasů'!H131="","",'Seznam zápasů'!H131)</f>
        <v/>
      </c>
      <c r="BJ10" s="39" t="str">
        <f>IF('Seznam zápasů'!I131="","",'Seznam zápasů'!I131)</f>
        <v/>
      </c>
      <c r="BK10" s="39" t="str">
        <f ca="1">IF('Seznam zápasů'!J131="","",'Seznam zápasů'!J131)</f>
        <v>Nadcházející</v>
      </c>
      <c r="BL10" s="42">
        <f>IF('Seznam zápasů'!A132="","",'Seznam zápasů'!A132)</f>
        <v>46334</v>
      </c>
      <c r="BM10" s="39" t="str">
        <f>IF('Seznam zápasů'!B132="","",'Seznam zápasů'!B132)</f>
        <v>Ne</v>
      </c>
      <c r="BN10" s="39" t="str">
        <f>IF('Seznam zápasů'!D132="","",'Seznam zápasů'!D132)</f>
        <v>celostátní liga</v>
      </c>
      <c r="BO10" s="39" t="str">
        <f>IF('Seznam zápasů'!E132="","",'Seznam zápasů'!E132)</f>
        <v>Tigers České Budějovice</v>
      </c>
      <c r="BP10" s="45" t="str">
        <f>IF('Seznam zápasů'!F132="","",'Seznam zápasů'!F132)</f>
        <v>086</v>
      </c>
      <c r="BQ10" s="39" t="str">
        <f>IF('Seznam zápasů'!G132="","",'Seznam zápasů'!G132)</f>
        <v/>
      </c>
      <c r="BR10" s="39" t="str">
        <f>IF('Seznam zápasů'!H132="","",'Seznam zápasů'!H132)</f>
        <v/>
      </c>
      <c r="BS10" s="39" t="str">
        <f>IF('Seznam zápasů'!I132="","",'Seznam zápasů'!I132)</f>
        <v/>
      </c>
      <c r="BT10" s="39" t="str">
        <f ca="1">IF('Seznam zápasů'!J132="","",'Seznam zápasů'!J132)</f>
        <v>Nadcházející</v>
      </c>
      <c r="BU10" s="42">
        <f>IF('Seznam zápasů'!A133="","",'Seznam zápasů'!A133)</f>
        <v>46334</v>
      </c>
      <c r="BV10" s="39" t="str">
        <f>IF('Seznam zápasů'!B133="","",'Seznam zápasů'!B133)</f>
        <v>Ne</v>
      </c>
      <c r="BW10" s="39" t="str">
        <f>IF('Seznam zápasů'!D133="","",'Seznam zápasů'!D133)</f>
        <v>nadreg. liga</v>
      </c>
      <c r="BX10" s="39" t="str">
        <f>IF('Seznam zápasů'!E133="","",'Seznam zápasů'!E133)</f>
        <v>Válečnice Děčín B</v>
      </c>
      <c r="BY10" s="45" t="str">
        <f>IF('Seznam zápasů'!F133="","",'Seznam zápasů'!F133)</f>
        <v>17578</v>
      </c>
      <c r="BZ10" s="39" t="str">
        <f>IF('Seznam zápasů'!G133="","",'Seznam zápasů'!G133)</f>
        <v/>
      </c>
      <c r="CA10" s="39" t="str">
        <f>IF('Seznam zápasů'!H133="","",'Seznam zápasů'!H133)</f>
        <v/>
      </c>
      <c r="CB10" s="39" t="str">
        <f>IF('Seznam zápasů'!I133="","",'Seznam zápasů'!I133)</f>
        <v/>
      </c>
      <c r="CC10" s="39" t="str">
        <f ca="1">IF('Seznam zápasů'!J133="","",'Seznam zápasů'!J133)</f>
        <v>Nadcházející</v>
      </c>
      <c r="CD10" s="42">
        <f>IF('Seznam zápasů'!A151="","",'Seznam zápasů'!A151)</f>
        <v>46341</v>
      </c>
      <c r="CE10" s="39" t="str">
        <f>IF('Seznam zápasů'!B151="","",'Seznam zápasů'!B151)</f>
        <v>Ne</v>
      </c>
      <c r="CF10" s="39" t="str">
        <f>IF('Seznam zápasů'!D151="","",'Seznam zápasů'!D151)</f>
        <v>žákovská liga</v>
      </c>
      <c r="CG10" s="39" t="str">
        <f>IF('Seznam zápasů'!E151="","",'Seznam zápasů'!E151)</f>
        <v>BA Radotín</v>
      </c>
      <c r="CH10" s="45" t="str">
        <f>IF('Seznam zápasů'!F151="","",'Seznam zápasů'!F151)</f>
        <v>030</v>
      </c>
      <c r="CI10" s="39" t="str">
        <f>IF('Seznam zápasů'!G151="","",'Seznam zápasů'!G151)</f>
        <v/>
      </c>
      <c r="CJ10" s="39" t="str">
        <f>IF('Seznam zápasů'!H151="","",'Seznam zápasů'!H151)</f>
        <v/>
      </c>
      <c r="CK10" s="39" t="str">
        <f>IF('Seznam zápasů'!I151="","",'Seznam zápasů'!I151)</f>
        <v/>
      </c>
      <c r="CL10" s="39" t="str">
        <f ca="1">IF('Seznam zápasů'!J151="","",'Seznam zápasů'!J151)</f>
        <v>Nadcházející</v>
      </c>
      <c r="CM10" s="42">
        <f>IF('Seznam zápasů'!A152="","",'Seznam zápasů'!A152)</f>
        <v>46341</v>
      </c>
      <c r="CN10" s="39" t="str">
        <f>IF('Seznam zápasů'!B152="","",'Seznam zápasů'!B152)</f>
        <v>Ne</v>
      </c>
      <c r="CO10" s="39" t="str">
        <f>IF('Seznam zápasů'!D152="","",'Seznam zápasů'!D152)</f>
        <v>žákovská liga</v>
      </c>
      <c r="CP10" s="39" t="str">
        <f>IF('Seznam zápasů'!E152="","",'Seznam zápasů'!E152)</f>
        <v>HB Basket Praha</v>
      </c>
      <c r="CQ10" s="45" t="str">
        <f>IF('Seznam zápasů'!F152="","",'Seznam zápasů'!F152)</f>
        <v>029</v>
      </c>
      <c r="CR10" s="39" t="str">
        <f>IF('Seznam zápasů'!G152="","",'Seznam zápasů'!G152)</f>
        <v/>
      </c>
      <c r="CS10" s="39" t="str">
        <f>IF('Seznam zápasů'!H152="","",'Seznam zápasů'!H152)</f>
        <v/>
      </c>
      <c r="CT10" s="39" t="str">
        <f>IF('Seznam zápasů'!I152="","",'Seznam zápasů'!I152)</f>
        <v/>
      </c>
      <c r="CU10" s="39" t="str">
        <f ca="1">IF('Seznam zápasů'!J152="","",'Seznam zápasů'!J152)</f>
        <v>Nadcházející</v>
      </c>
      <c r="CV10" s="42">
        <f>IF('Seznam zápasů'!A185="","",'Seznam zápasů'!A185)</f>
        <v>46361</v>
      </c>
      <c r="CW10" s="39" t="str">
        <f>IF('Seznam zápasů'!B185="","",'Seznam zápasů'!B185)</f>
        <v>So</v>
      </c>
      <c r="CX10" s="39" t="str">
        <f>IF('Seznam zápasů'!D185="","",'Seznam zápasů'!D185)</f>
        <v>nadreg. Liga</v>
      </c>
      <c r="CY10" s="39" t="str">
        <f>IF('Seznam zápasů'!E185="","",'Seznam zápasů'!E185)</f>
        <v>BC Wizard</v>
      </c>
      <c r="CZ10" s="45" t="str">
        <f>IF('Seznam zápasů'!F185="","",'Seznam zápasů'!F185)</f>
        <v>068</v>
      </c>
      <c r="DA10" s="39" t="str">
        <f>IF('Seznam zápasů'!G185="","",'Seznam zápasů'!G185)</f>
        <v/>
      </c>
      <c r="DB10" s="39" t="str">
        <f>IF('Seznam zápasů'!H185="","",'Seznam zápasů'!H185)</f>
        <v/>
      </c>
      <c r="DC10" s="39" t="str">
        <f>IF('Seznam zápasů'!I185="","",'Seznam zápasů'!I185)</f>
        <v/>
      </c>
      <c r="DD10" s="39" t="str">
        <f ca="1">IF('Seznam zápasů'!J185="","",'Seznam zápasů'!J185)</f>
        <v>Nadcházející</v>
      </c>
      <c r="DE10" s="42">
        <f>IF('Seznam zápasů'!A125="","",'Seznam zápasů'!A125)</f>
        <v>46333</v>
      </c>
      <c r="DF10" s="39" t="str">
        <f>IF('Seznam zápasů'!B125="","",'Seznam zápasů'!B125)</f>
        <v>So</v>
      </c>
      <c r="DG10" s="39" t="str">
        <f>IF('Seznam zápasů'!D125="","",'Seznam zápasů'!D125)</f>
        <v>žákovská liga</v>
      </c>
      <c r="DH10" s="39" t="str">
        <f>IF('Seznam zápasů'!E125="","",'Seznam zápasů'!E125)</f>
        <v>BK Kladno</v>
      </c>
      <c r="DI10" s="45" t="str">
        <f>IF('Seznam zápasů'!F125="","",'Seznam zápasů'!F125)</f>
        <v>109</v>
      </c>
      <c r="DJ10" s="39" t="str">
        <f>IF('Seznam zápasů'!G125="","",'Seznam zápasů'!G125)</f>
        <v/>
      </c>
      <c r="DK10" s="39" t="str">
        <f>IF('Seznam zápasů'!H125="","",'Seznam zápasů'!H125)</f>
        <v/>
      </c>
      <c r="DL10" s="39" t="str">
        <f>IF('Seznam zápasů'!I125="","",'Seznam zápasů'!I125)</f>
        <v/>
      </c>
      <c r="DM10" s="39" t="str">
        <f ca="1">IF('Seznam zápasů'!J125="","",'Seznam zápasů'!J125)</f>
        <v>Nadcházející</v>
      </c>
      <c r="DN10" s="42">
        <f>IF('Seznam zápasů'!A162="","",'Seznam zápasů'!A162)</f>
        <v>46347</v>
      </c>
      <c r="DO10" s="39" t="str">
        <f>IF('Seznam zápasů'!B162="","",'Seznam zápasů'!B162)</f>
        <v>So</v>
      </c>
      <c r="DP10" s="39" t="str">
        <f>IF('Seznam zápasů'!D162="","",'Seznam zápasů'!D162)</f>
        <v>žákovská liga</v>
      </c>
      <c r="DQ10" s="39" t="str">
        <f>IF('Seznam zápasů'!E162="","",'Seznam zápasů'!E162)</f>
        <v>Žabiny Brno B</v>
      </c>
      <c r="DR10" s="45" t="str">
        <f>IF('Seznam zápasů'!F162="","",'Seznam zápasů'!F162)</f>
        <v>142</v>
      </c>
      <c r="DS10" s="39" t="str">
        <f>IF('Seznam zápasů'!G162="","",'Seznam zápasů'!G162)</f>
        <v/>
      </c>
      <c r="DT10" s="39" t="str">
        <f>IF('Seznam zápasů'!H162="","",'Seznam zápasů'!H162)</f>
        <v/>
      </c>
      <c r="DU10" s="39" t="str">
        <f>IF('Seznam zápasů'!I162="","",'Seznam zápasů'!I162)</f>
        <v/>
      </c>
      <c r="DV10" s="39" t="str">
        <f ca="1">IF('Seznam zápasů'!J162="","",'Seznam zápasů'!J162)</f>
        <v>Nadcházející</v>
      </c>
      <c r="DW10" s="42">
        <f>IF('Seznam zápasů'!A209="","",'Seznam zápasů'!A209)</f>
        <v>46369</v>
      </c>
      <c r="DX10" s="39" t="str">
        <f>IF('Seznam zápasů'!B209="","",'Seznam zápasů'!B209)</f>
        <v>Ne</v>
      </c>
      <c r="DY10" s="39" t="str">
        <f>IF('Seznam zápasů'!D209="","",'Seznam zápasů'!D209)</f>
        <v>nadreg. liga</v>
      </c>
      <c r="DZ10" s="39" t="str">
        <f>IF('Seznam zápasů'!E209="","",'Seznam zápasů'!E209)</f>
        <v>Slovan Varnsdorf</v>
      </c>
      <c r="EA10" s="45" t="str">
        <f>IF('Seznam zápasů'!F209="","",'Seznam zápasů'!F209)</f>
        <v>029</v>
      </c>
      <c r="EB10" s="39" t="str">
        <f>IF('Seznam zápasů'!G209="","",'Seznam zápasů'!G209)</f>
        <v/>
      </c>
      <c r="EC10" s="39" t="str">
        <f>IF('Seznam zápasů'!H209="","",'Seznam zápasů'!H209)</f>
        <v/>
      </c>
      <c r="ED10" s="39" t="str">
        <f>IF('Seznam zápasů'!I209="","",'Seznam zápasů'!I209)</f>
        <v/>
      </c>
      <c r="EE10" s="39" t="str">
        <f ca="1">IF('Seznam zápasů'!J209="","",'Seznam zápasů'!J209)</f>
        <v>Nadcházející</v>
      </c>
      <c r="EF10" s="42">
        <f>IF('Seznam zápasů'!A179="","",'Seznam zápasů'!A179)</f>
        <v>46361</v>
      </c>
      <c r="EG10" s="39" t="str">
        <f>IF('Seznam zápasů'!B179="","",'Seznam zápasů'!B179)</f>
        <v>So</v>
      </c>
      <c r="EH10" s="39" t="str">
        <f>IF('Seznam zápasů'!D179="","",'Seznam zápasů'!D179)</f>
        <v>KP + kval. o NF</v>
      </c>
      <c r="EI10" s="39" t="str">
        <f>IF('Seznam zápasů'!E179="","",'Seznam zápasů'!E179)</f>
        <v>NBK Milovice</v>
      </c>
      <c r="EJ10" s="45" t="str">
        <f>IF('Seznam zápasů'!F179="","",'Seznam zápasů'!F179)</f>
        <v>022</v>
      </c>
      <c r="EK10" s="39" t="str">
        <f>IF('Seznam zápasů'!G179="","",'Seznam zápasů'!G179)</f>
        <v/>
      </c>
      <c r="EL10" s="39" t="str">
        <f>IF('Seznam zápasů'!H179="","",'Seznam zápasů'!H179)</f>
        <v/>
      </c>
      <c r="EM10" s="39" t="str">
        <f>IF('Seznam zápasů'!I179="","",'Seznam zápasů'!I179)</f>
        <v/>
      </c>
      <c r="EN10" s="39" t="str">
        <f ca="1">IF('Seznam zápasů'!J179="","",'Seznam zápasů'!J179)</f>
        <v>Nadcházející</v>
      </c>
      <c r="EO10" s="42">
        <f>IF('Seznam zápasů'!A273="","",'Seznam zápasů'!A273)</f>
        <v>46424</v>
      </c>
      <c r="EP10" s="39" t="str">
        <f>IF('Seznam zápasů'!B273="","",'Seznam zápasů'!B273)</f>
        <v>So</v>
      </c>
      <c r="EQ10" s="39" t="str">
        <f>IF('Seznam zápasů'!D273="","",'Seznam zápasů'!D273)</f>
        <v>KP + kval. o NF</v>
      </c>
      <c r="ER10" s="39" t="str">
        <f>IF('Seznam zápasů'!E273="","",'Seznam zápasů'!E273)</f>
        <v>TJ Sokol Smíchov</v>
      </c>
      <c r="ES10" s="45" t="str">
        <f>IF('Seznam zápasů'!F273="","",'Seznam zápasů'!F273)</f>
        <v>2x 025,061</v>
      </c>
      <c r="ET10" s="39" t="str">
        <f>IF('Seznam zápasů'!G273="","",'Seznam zápasů'!G273)</f>
        <v/>
      </c>
      <c r="EU10" s="39" t="str">
        <f>IF('Seznam zápasů'!H273="","",'Seznam zápasů'!H273)</f>
        <v/>
      </c>
      <c r="EV10" s="39" t="str">
        <f>IF('Seznam zápasů'!I273="","",'Seznam zápasů'!I273)</f>
        <v/>
      </c>
      <c r="EW10" s="39" t="str">
        <f ca="1">IF('Seznam zápasů'!J273="","",'Seznam zápasů'!J273)</f>
        <v>Nadcházející</v>
      </c>
      <c r="EX10" s="42">
        <f>IF('Seznam zápasů'!A253="","",'Seznam zápasů'!A253)</f>
        <v>46410</v>
      </c>
      <c r="EY10" s="39" t="str">
        <f>IF('Seznam zápasů'!B253="","",'Seznam zápasů'!B253)</f>
        <v>So</v>
      </c>
      <c r="EZ10" s="39" t="str">
        <f>IF('Seznam zápasů'!D253="","",'Seznam zápasů'!D253)</f>
        <v>KP + kval. o NF</v>
      </c>
      <c r="FA10" s="39" t="str">
        <f>IF('Seznam zápasů'!E253="","",'Seznam zápasů'!E253)</f>
        <v>Nymburk-Brandýs-BN 004-006</v>
      </c>
      <c r="FB10" s="45" t="str">
        <f>IF('Seznam zápasů'!F253="","",'Seznam zápasů'!F253)</f>
        <v/>
      </c>
      <c r="FC10" s="39" t="str">
        <f>IF('Seznam zápasů'!G253="","",'Seznam zápasů'!G253)</f>
        <v/>
      </c>
      <c r="FD10" s="39" t="str">
        <f>IF('Seznam zápasů'!H253="","",'Seznam zápasů'!H253)</f>
        <v/>
      </c>
      <c r="FE10" s="39" t="str">
        <f>IF('Seznam zápasů'!I253="","",'Seznam zápasů'!I253)</f>
        <v/>
      </c>
      <c r="FF10" s="39" t="str">
        <f ca="1">IF('Seznam zápasů'!J253="","",'Seznam zápasů'!J253)</f>
        <v>Nadcházející</v>
      </c>
      <c r="FG10" s="42">
        <f>IF('Seznam zápasů'!A373="","",'Seznam zápasů'!A373)</f>
        <v>46480</v>
      </c>
      <c r="FH10" s="39" t="str">
        <f>IF('Seznam zápasů'!B373="","",'Seznam zápasů'!B373)</f>
        <v>So</v>
      </c>
      <c r="FI10" s="39" t="str">
        <f>IF('Seznam zápasů'!D373="","",'Seznam zápasů'!D373)</f>
        <v>KP</v>
      </c>
      <c r="FJ10" s="39" t="str">
        <f>IF('Seznam zápasů'!E373="","",'Seznam zápasů'!E373)</f>
        <v>TJ AŠ Mladá Boleslav</v>
      </c>
      <c r="FK10" s="45" t="str">
        <f>IF('Seznam zápasů'!F373="","",'Seznam zápasů'!F373)</f>
        <v>2x 020,040</v>
      </c>
      <c r="FL10" s="39" t="str">
        <f>IF('Seznam zápasů'!G373="","",'Seznam zápasů'!G373)</f>
        <v/>
      </c>
      <c r="FM10" s="39" t="str">
        <f>IF('Seznam zápasů'!H373="","",'Seznam zápasů'!H373)</f>
        <v/>
      </c>
      <c r="FN10" s="39" t="str">
        <f>IF('Seznam zápasů'!I373="","",'Seznam zápasů'!I373)</f>
        <v/>
      </c>
      <c r="FO10" s="39" t="str">
        <f ca="1">IF('Seznam zápasů'!J373="","",'Seznam zápasů'!J373)</f>
        <v>Nadcházející</v>
      </c>
      <c r="FP10" s="42">
        <f>IF('Seznam zápasů'!A143="","",'Seznam zápasů'!A143)</f>
        <v>46340</v>
      </c>
      <c r="FQ10" s="39" t="str">
        <f>IF('Seznam zápasů'!B143="","",'Seznam zápasů'!B143)</f>
        <v>So</v>
      </c>
      <c r="FR10" s="39" t="str">
        <f>IF('Seznam zápasů'!D143="","",'Seznam zápasů'!D143)</f>
        <v>KP + kval. o NF</v>
      </c>
      <c r="FS10" s="39" t="str">
        <f>IF('Seznam zápasů'!E143="","",'Seznam zápasů'!E143)</f>
        <v>BC Kolín</v>
      </c>
      <c r="FT10" s="45" t="str">
        <f>IF('Seznam zápasů'!F143="","",'Seznam zápasů'!F143)</f>
        <v>052</v>
      </c>
      <c r="FU10" s="39" t="str">
        <f>IF('Seznam zápasů'!G143="","",'Seznam zápasů'!G143)</f>
        <v/>
      </c>
      <c r="FV10" s="39" t="str">
        <f>IF('Seznam zápasů'!H143="","",'Seznam zápasů'!H143)</f>
        <v/>
      </c>
      <c r="FW10" s="39" t="str">
        <f>IF('Seznam zápasů'!I143="","",'Seznam zápasů'!I143)</f>
        <v/>
      </c>
      <c r="FX10" s="39" t="str">
        <f ca="1">IF('Seznam zápasů'!J143="","",'Seznam zápasů'!J143)</f>
        <v>Nadcházející</v>
      </c>
      <c r="FY10" s="42">
        <f>IF('Seznam zápasů'!A275="","",'Seznam zápasů'!A275)</f>
        <v>46424</v>
      </c>
      <c r="FZ10" s="39" t="str">
        <f>IF('Seznam zápasů'!B275="","",'Seznam zápasů'!B275)</f>
        <v>So</v>
      </c>
      <c r="GA10" s="39" t="str">
        <f>IF('Seznam zápasů'!D275="","",'Seznam zápasů'!D275)</f>
        <v>KP + kval. o NF</v>
      </c>
      <c r="GB10" s="39" t="str">
        <f>IF('Seznam zápasů'!E275="","",'Seznam zápasů'!E275)</f>
        <v>Sokol Kladno</v>
      </c>
      <c r="GC10" s="45" t="str">
        <f>IF('Seznam zápasů'!F275="","",'Seznam zápasů'!F275)</f>
        <v>2x 026,64</v>
      </c>
      <c r="GD10" s="39" t="str">
        <f>IF('Seznam zápasů'!G275="","",'Seznam zápasů'!G275)</f>
        <v/>
      </c>
      <c r="GE10" s="39" t="str">
        <f>IF('Seznam zápasů'!H275="","",'Seznam zápasů'!H275)</f>
        <v/>
      </c>
      <c r="GF10" s="39" t="str">
        <f>IF('Seznam zápasů'!I275="","",'Seznam zápasů'!I275)</f>
        <v/>
      </c>
      <c r="GG10" s="39" t="str">
        <f ca="1">IF('Seznam zápasů'!J275="","",'Seznam zápasů'!J275)</f>
        <v>Nadcházející</v>
      </c>
      <c r="GH10" s="42">
        <f>IF('Seznam zápasů'!A255="","",'Seznam zápasů'!A255)</f>
        <v>46410</v>
      </c>
      <c r="GI10" s="39" t="str">
        <f>IF('Seznam zápasů'!B255="","",'Seznam zápasů'!B255)</f>
        <v>So</v>
      </c>
      <c r="GJ10" s="39" t="str">
        <f>IF('Seznam zápasů'!D255="","",'Seznam zápasů'!D255)</f>
        <v>KP + kval. o NF</v>
      </c>
      <c r="GK10" s="39" t="str">
        <f>IF('Seznam zápasů'!E255="","",'Seznam zápasů'!E255)</f>
        <v>ŠBK Sadská kval.</v>
      </c>
      <c r="GL10" s="45" t="str">
        <f>IF('Seznam zápasů'!F255="","",'Seznam zápasů'!F255)</f>
        <v>005</v>
      </c>
      <c r="GM10" s="39" t="str">
        <f>IF('Seznam zápasů'!G255="","",'Seznam zápasů'!G255)</f>
        <v/>
      </c>
      <c r="GN10" s="39" t="str">
        <f>IF('Seznam zápasů'!H255="","",'Seznam zápasů'!H255)</f>
        <v/>
      </c>
      <c r="GO10" s="39" t="str">
        <f>IF('Seznam zápasů'!I255="","",'Seznam zápasů'!I255)</f>
        <v/>
      </c>
      <c r="GP10" s="39" t="str">
        <f ca="1">IF('Seznam zápasů'!J255="","",'Seznam zápasů'!J255)</f>
        <v>Nadcházející</v>
      </c>
      <c r="GQ10" s="42">
        <f>IF('Seznam zápasů'!A375="","",'Seznam zápasů'!A375)</f>
        <v>46480</v>
      </c>
      <c r="GR10" s="39" t="str">
        <f>IF('Seznam zápasů'!B375="","",'Seznam zápasů'!B375)</f>
        <v>So</v>
      </c>
      <c r="GS10" s="39" t="str">
        <f>IF('Seznam zápasů'!D375="","",'Seznam zápasů'!D375)</f>
        <v>KP</v>
      </c>
      <c r="GT10" s="39" t="str">
        <f>IF('Seznam zápasů'!E375="","",'Seznam zápasů'!E375)</f>
        <v>BC Slaný</v>
      </c>
      <c r="GU10" s="45" t="str">
        <f>IF('Seznam zápasů'!F375="","",'Seznam zápasů'!F375)</f>
        <v>2x 019,039</v>
      </c>
      <c r="GV10" s="39" t="str">
        <f>IF('Seznam zápasů'!G375="","",'Seznam zápasů'!G375)</f>
        <v/>
      </c>
      <c r="GW10" s="39" t="str">
        <f>IF('Seznam zápasů'!H375="","",'Seznam zápasů'!H375)</f>
        <v/>
      </c>
      <c r="GX10" s="39" t="str">
        <f>IF('Seznam zápasů'!I375="","",'Seznam zápasů'!I375)</f>
        <v/>
      </c>
      <c r="GY10" s="39" t="str">
        <f ca="1">IF('Seznam zápasů'!J375="","",'Seznam zápasů'!J375)</f>
        <v>Nadcházející</v>
      </c>
    </row>
    <row r="11" spans="1:216" x14ac:dyDescent="0.2">
      <c r="A11" s="42">
        <f>IF('Seznam zápasů'!A175="","",'Seznam zápasů'!A175)</f>
        <v>46354</v>
      </c>
      <c r="B11" s="39" t="str">
        <f>IF('Seznam zápasů'!B175="","",'Seznam zápasů'!B175)</f>
        <v>So</v>
      </c>
      <c r="C11" s="39" t="str">
        <f>IF('Seznam zápasů'!D175="","",'Seznam zápasů'!D175)</f>
        <v>SBLM</v>
      </c>
      <c r="D11" s="39" t="str">
        <f>IF('Seznam zápasů'!E175="","",'Seznam zápasů'!E175)</f>
        <v>BC Real Réma Nymbuk</v>
      </c>
      <c r="E11" s="45" t="str">
        <f>IF('Seznam zápasů'!F175="","",'Seznam zápasů'!F175)</f>
        <v>058</v>
      </c>
      <c r="F11" s="39" t="str">
        <f>IF('Seznam zápasů'!G175="","",'Seznam zápasů'!G175)</f>
        <v/>
      </c>
      <c r="G11" s="39" t="str">
        <f>IF('Seznam zápasů'!H175="","",'Seznam zápasů'!H175)</f>
        <v/>
      </c>
      <c r="H11" s="39" t="str">
        <f>IF('Seznam zápasů'!I175="","",'Seznam zápasů'!I175)</f>
        <v/>
      </c>
      <c r="I11" s="39" t="str">
        <f ca="1">IF('Seznam zápasů'!J175="","",'Seznam zápasů'!J175)</f>
        <v>Nadcházející</v>
      </c>
      <c r="J11" s="42">
        <f>IF('Seznam zápasů'!A223="","",'Seznam zápasů'!A223)</f>
        <v>46397</v>
      </c>
      <c r="K11" s="39" t="str">
        <f>IF('Seznam zápasů'!B223="","",'Seznam zápasů'!B223)</f>
        <v>Ne</v>
      </c>
      <c r="L11" s="39" t="str">
        <f>IF('Seznam zápasů'!D223="","",'Seznam zápasů'!D223)</f>
        <v>KP</v>
      </c>
      <c r="M11" s="39" t="str">
        <f>IF('Seznam zápasů'!E223="","",'Seznam zápasů'!E223)</f>
        <v>BK Příbram 2000 "B"</v>
      </c>
      <c r="N11" s="45" t="str">
        <f>IF('Seznam zápasů'!F223="","",'Seznam zápasů'!F223)</f>
        <v>040</v>
      </c>
      <c r="O11" s="39" t="str">
        <f>IF('Seznam zápasů'!G223="","",'Seznam zápasů'!G223)</f>
        <v/>
      </c>
      <c r="P11" s="39" t="str">
        <f>IF('Seznam zápasů'!H223="","",'Seznam zápasů'!H223)</f>
        <v/>
      </c>
      <c r="Q11" s="39" t="str">
        <f>IF('Seznam zápasů'!I223="","",'Seznam zápasů'!I223)</f>
        <v/>
      </c>
      <c r="R11" s="39" t="str">
        <f ca="1">IF('Seznam zápasů'!J223="","",'Seznam zápasů'!J223)</f>
        <v>Nadcházející</v>
      </c>
      <c r="S11" s="42">
        <f>IF('Seznam zápasů'!A164="","",'Seznam zápasů'!A164)</f>
        <v>46347</v>
      </c>
      <c r="T11" s="39" t="str">
        <f>IF('Seznam zápasů'!B164="","",'Seznam zápasů'!B164)</f>
        <v>So</v>
      </c>
      <c r="U11" s="39" t="str">
        <f>IF('Seznam zápasů'!D164="","",'Seznam zápasů'!D164)</f>
        <v>II. Liga</v>
      </c>
      <c r="V11" s="39" t="str">
        <f>IF('Seznam zápasů'!E164="","",'Seznam zápasů'!E164)</f>
        <v>BA Roudnice</v>
      </c>
      <c r="W11" s="45" t="str">
        <f>IF('Seznam zápasů'!F164="","",'Seznam zápasů'!F164)</f>
        <v>033</v>
      </c>
      <c r="X11" s="39" t="str">
        <f>IF('Seznam zápasů'!G164="","",'Seznam zápasů'!G164)</f>
        <v/>
      </c>
      <c r="Y11" s="39" t="str">
        <f>IF('Seznam zápasů'!H164="","",'Seznam zápasů'!H164)</f>
        <v/>
      </c>
      <c r="Z11" s="39" t="str">
        <f>IF('Seznam zápasů'!I164="","",'Seznam zápasů'!I164)</f>
        <v/>
      </c>
      <c r="AA11" s="39" t="str">
        <f ca="1">IF('Seznam zápasů'!J164="","",'Seznam zápasů'!J164)</f>
        <v>Nadcházející</v>
      </c>
      <c r="AB11" s="42">
        <f>IF('Seznam zápasů'!A202="","",'Seznam zápasů'!A202)</f>
        <v>46368</v>
      </c>
      <c r="AC11" s="39" t="str">
        <f>IF('Seznam zápasů'!B202="","",'Seznam zápasů'!B202)</f>
        <v>So</v>
      </c>
      <c r="AD11" s="39" t="str">
        <f>IF('Seznam zápasů'!D202="","",'Seznam zápasů'!D202)</f>
        <v>SBLŽ</v>
      </c>
      <c r="AE11" s="39" t="str">
        <f>IF('Seznam zápasů'!E202="","",'Seznam zápasů'!E202)</f>
        <v>BK Příbram 2000</v>
      </c>
      <c r="AF11" s="45" t="str">
        <f>IF('Seznam zápasů'!F202="","",'Seznam zápasů'!F202)</f>
        <v>039</v>
      </c>
      <c r="AG11" s="39" t="str">
        <f>IF('Seznam zápasů'!G202="","",'Seznam zápasů'!G202)</f>
        <v/>
      </c>
      <c r="AH11" s="39" t="str">
        <f>IF('Seznam zápasů'!H202="","",'Seznam zápasů'!H202)</f>
        <v/>
      </c>
      <c r="AI11" s="39" t="str">
        <f>IF('Seznam zápasů'!I202="","",'Seznam zápasů'!I202)</f>
        <v/>
      </c>
      <c r="AJ11" s="39" t="str">
        <f ca="1">IF('Seznam zápasů'!J202="","",'Seznam zápasů'!J202)</f>
        <v>Nadcházející</v>
      </c>
      <c r="AK11" s="42">
        <f>IF('Seznam zápasů'!A211="","",'Seznam zápasů'!A211)</f>
        <v>46369</v>
      </c>
      <c r="AL11" s="39" t="str">
        <f>IF('Seznam zápasů'!B211="","",'Seznam zápasů'!B211)</f>
        <v>Ne</v>
      </c>
      <c r="AM11" s="39" t="str">
        <f>IF('Seznam zápasů'!D211="","",'Seznam zápasů'!D211)</f>
        <v>SBLŽ</v>
      </c>
      <c r="AN11" s="39" t="str">
        <f>IF('Seznam zápasů'!E211="","",'Seznam zápasů'!E211)</f>
        <v>BK Příbram 2000</v>
      </c>
      <c r="AO11" s="45" t="str">
        <f>IF('Seznam zápasů'!F211="","",'Seznam zápasů'!F211)</f>
        <v>043</v>
      </c>
      <c r="AP11" s="39" t="str">
        <f>IF('Seznam zápasů'!G211="","",'Seznam zápasů'!G211)</f>
        <v/>
      </c>
      <c r="AQ11" s="39" t="str">
        <f>IF('Seznam zápasů'!H211="","",'Seznam zápasů'!H211)</f>
        <v/>
      </c>
      <c r="AR11" s="39" t="str">
        <f>IF('Seznam zápasů'!I211="","",'Seznam zápasů'!I211)</f>
        <v/>
      </c>
      <c r="AS11" s="39" t="str">
        <f ca="1">IF('Seznam zápasů'!J211="","",'Seznam zápasů'!J211)</f>
        <v>Nadcházející</v>
      </c>
      <c r="AT11" s="42">
        <f>IF('Seznam zápasů'!A177="","",'Seznam zápasů'!A177)</f>
        <v>46361</v>
      </c>
      <c r="AU11" s="39" t="str">
        <f>IF('Seznam zápasů'!B177="","",'Seznam zápasů'!B177)</f>
        <v>So</v>
      </c>
      <c r="AV11" s="39" t="str">
        <f>IF('Seznam zápasů'!D177="","",'Seznam zápasů'!D177)</f>
        <v>NRL</v>
      </c>
      <c r="AW11" s="39" t="str">
        <f>IF('Seznam zápasů'!E177="","",'Seznam zápasů'!E177)</f>
        <v>BK Příbram 2000</v>
      </c>
      <c r="AX11" s="45" t="str">
        <f>IF('Seznam zápasů'!F177="","",'Seznam zápasů'!F177)</f>
        <v>19259</v>
      </c>
      <c r="AY11" s="39" t="str">
        <f>IF('Seznam zápasů'!G177="","",'Seznam zápasů'!G177)</f>
        <v/>
      </c>
      <c r="AZ11" s="39" t="str">
        <f>IF('Seznam zápasů'!H177="","",'Seznam zápasů'!H177)</f>
        <v/>
      </c>
      <c r="BA11" s="39" t="str">
        <f>IF('Seznam zápasů'!I177="","",'Seznam zápasů'!I177)</f>
        <v/>
      </c>
      <c r="BB11" s="39" t="str">
        <f ca="1">IF('Seznam zápasů'!J177="","",'Seznam zápasů'!J177)</f>
        <v>Nadcházející</v>
      </c>
      <c r="BC11" s="42">
        <f>IF('Seznam zápasů'!A154="","",'Seznam zápasů'!A154)</f>
        <v>46347</v>
      </c>
      <c r="BD11" s="39" t="str">
        <f>IF('Seznam zápasů'!B154="","",'Seznam zápasů'!B154)</f>
        <v>So</v>
      </c>
      <c r="BE11" s="39" t="str">
        <f>IF('Seznam zápasů'!D154="","",'Seznam zápasů'!D154)</f>
        <v>nadreg. liga</v>
      </c>
      <c r="BF11" s="39" t="str">
        <f>IF('Seznam zápasů'!E154="","",'Seznam zápasů'!E154)</f>
        <v>BA Radotín</v>
      </c>
      <c r="BG11" s="45" t="str">
        <f>IF('Seznam zápasů'!F154="","",'Seznam zápasů'!F154)</f>
        <v>17162</v>
      </c>
      <c r="BH11" s="39" t="str">
        <f>IF('Seznam zápasů'!G154="","",'Seznam zápasů'!G154)</f>
        <v/>
      </c>
      <c r="BI11" s="39" t="str">
        <f>IF('Seznam zápasů'!H154="","",'Seznam zápasů'!H154)</f>
        <v/>
      </c>
      <c r="BJ11" s="39" t="str">
        <f>IF('Seznam zápasů'!I154="","",'Seznam zápasů'!I154)</f>
        <v/>
      </c>
      <c r="BK11" s="39" t="str">
        <f ca="1">IF('Seznam zápasů'!J154="","",'Seznam zápasů'!J154)</f>
        <v>Nadcházející</v>
      </c>
      <c r="BL11" s="42">
        <f>IF('Seznam zápasů'!A155="","",'Seznam zápasů'!A155)</f>
        <v>46347</v>
      </c>
      <c r="BM11" s="39" t="str">
        <f>IF('Seznam zápasů'!B155="","",'Seznam zápasů'!B155)</f>
        <v>So</v>
      </c>
      <c r="BN11" s="39" t="str">
        <f>IF('Seznam zápasů'!D155="","",'Seznam zápasů'!D155)</f>
        <v>celostátní liga</v>
      </c>
      <c r="BO11" s="39" t="str">
        <f>IF('Seznam zápasů'!E155="","",'Seznam zápasů'!E155)</f>
        <v>Vlčice Žďár</v>
      </c>
      <c r="BP11" s="45" t="str">
        <f>IF('Seznam zápasů'!F155="","",'Seznam zápasů'!F155)</f>
        <v>092</v>
      </c>
      <c r="BQ11" s="39" t="str">
        <f>IF('Seznam zápasů'!G155="","",'Seznam zápasů'!G155)</f>
        <v/>
      </c>
      <c r="BR11" s="39" t="str">
        <f>IF('Seznam zápasů'!H155="","",'Seznam zápasů'!H155)</f>
        <v/>
      </c>
      <c r="BS11" s="39" t="str">
        <f>IF('Seznam zápasů'!I155="","",'Seznam zápasů'!I155)</f>
        <v/>
      </c>
      <c r="BT11" s="39" t="str">
        <f ca="1">IF('Seznam zápasů'!J155="","",'Seznam zápasů'!J155)</f>
        <v>Nadcházející</v>
      </c>
      <c r="BU11" s="42">
        <f>IF('Seznam zápasů'!A156="","",'Seznam zápasů'!A156)</f>
        <v>46347</v>
      </c>
      <c r="BV11" s="39" t="str">
        <f>IF('Seznam zápasů'!B156="","",'Seznam zápasů'!B156)</f>
        <v>So</v>
      </c>
      <c r="BW11" s="39" t="str">
        <f>IF('Seznam zápasů'!D156="","",'Seznam zápasů'!D156)</f>
        <v>nadreg. liga</v>
      </c>
      <c r="BX11" s="39" t="str">
        <f>IF('Seznam zápasů'!E156="","",'Seznam zápasů'!E156)</f>
        <v>Basketbal Újezd nad Lesy</v>
      </c>
      <c r="BY11" s="45" t="str">
        <f>IF('Seznam zápasů'!F156="","",'Seznam zápasů'!F156)</f>
        <v>17582</v>
      </c>
      <c r="BZ11" s="39" t="str">
        <f>IF('Seznam zápasů'!G156="","",'Seznam zápasů'!G156)</f>
        <v/>
      </c>
      <c r="CA11" s="39" t="str">
        <f>IF('Seznam zápasů'!H156="","",'Seznam zápasů'!H156)</f>
        <v/>
      </c>
      <c r="CB11" s="39" t="str">
        <f>IF('Seznam zápasů'!I156="","",'Seznam zápasů'!I156)</f>
        <v/>
      </c>
      <c r="CC11" s="39" t="str">
        <f ca="1">IF('Seznam zápasů'!J156="","",'Seznam zápasů'!J156)</f>
        <v>Nadcházející</v>
      </c>
      <c r="CD11" s="42">
        <f>IF('Seznam zápasů'!A183="","",'Seznam zápasů'!A183)</f>
        <v>46361</v>
      </c>
      <c r="CE11" s="39" t="str">
        <f>IF('Seznam zápasů'!B183="","",'Seznam zápasů'!B183)</f>
        <v>So</v>
      </c>
      <c r="CF11" s="39" t="str">
        <f>IF('Seznam zápasů'!D183="","",'Seznam zápasů'!D183)</f>
        <v>žákovská liga</v>
      </c>
      <c r="CG11" s="39" t="str">
        <f>IF('Seznam zápasů'!E183="","",'Seznam zápasů'!E183)</f>
        <v>BK Medvědi Tábor</v>
      </c>
      <c r="CH11" s="45" t="str">
        <f>IF('Seznam zápasů'!F183="","",'Seznam zápasů'!F183)</f>
        <v>035</v>
      </c>
      <c r="CI11" s="39" t="str">
        <f>IF('Seznam zápasů'!G183="","",'Seznam zápasů'!G183)</f>
        <v/>
      </c>
      <c r="CJ11" s="39" t="str">
        <f>IF('Seznam zápasů'!H183="","",'Seznam zápasů'!H183)</f>
        <v/>
      </c>
      <c r="CK11" s="39" t="str">
        <f>IF('Seznam zápasů'!I183="","",'Seznam zápasů'!I183)</f>
        <v/>
      </c>
      <c r="CL11" s="39" t="str">
        <f ca="1">IF('Seznam zápasů'!J183="","",'Seznam zápasů'!J183)</f>
        <v>Nadcházející</v>
      </c>
      <c r="CM11" s="42">
        <f>IF('Seznam zápasů'!A184="","",'Seznam zápasů'!A184)</f>
        <v>46361</v>
      </c>
      <c r="CN11" s="39" t="str">
        <f>IF('Seznam zápasů'!B184="","",'Seznam zápasů'!B184)</f>
        <v>So</v>
      </c>
      <c r="CO11" s="39" t="str">
        <f>IF('Seznam zápasů'!D184="","",'Seznam zápasů'!D184)</f>
        <v>žákovská liga</v>
      </c>
      <c r="CP11" s="39" t="str">
        <f>IF('Seznam zápasů'!E184="","",'Seznam zápasů'!E184)</f>
        <v>Levhartice Chomutov</v>
      </c>
      <c r="CQ11" s="45" t="str">
        <f>IF('Seznam zápasů'!F184="","",'Seznam zápasů'!F184)</f>
        <v>034</v>
      </c>
      <c r="CR11" s="39" t="str">
        <f>IF('Seznam zápasů'!G184="","",'Seznam zápasů'!G184)</f>
        <v/>
      </c>
      <c r="CS11" s="39" t="str">
        <f>IF('Seznam zápasů'!H184="","",'Seznam zápasů'!H184)</f>
        <v/>
      </c>
      <c r="CT11" s="39" t="str">
        <f>IF('Seznam zápasů'!I184="","",'Seznam zápasů'!I184)</f>
        <v/>
      </c>
      <c r="CU11" s="39" t="str">
        <f ca="1">IF('Seznam zápasů'!J184="","",'Seznam zápasů'!J184)</f>
        <v>Nadcházející</v>
      </c>
      <c r="CV11" s="42">
        <f>IF('Seznam zápasů'!A191="","",'Seznam zápasů'!A191)</f>
        <v>46362</v>
      </c>
      <c r="CW11" s="39" t="str">
        <f>IF('Seznam zápasů'!B191="","",'Seznam zápasů'!B191)</f>
        <v>Ne</v>
      </c>
      <c r="CX11" s="39" t="str">
        <f>IF('Seznam zápasů'!D191="","",'Seznam zápasů'!D191)</f>
        <v>nadreg. Liga</v>
      </c>
      <c r="CY11" s="39" t="str">
        <f>IF('Seznam zápasů'!E191="","",'Seznam zápasů'!E191)</f>
        <v>BK Brandýs B</v>
      </c>
      <c r="CZ11" s="45" t="str">
        <f>IF('Seznam zápasů'!F191="","",'Seznam zápasů'!F191)</f>
        <v>073</v>
      </c>
      <c r="DA11" s="39" t="str">
        <f>IF('Seznam zápasů'!G191="","",'Seznam zápasů'!G191)</f>
        <v/>
      </c>
      <c r="DB11" s="39" t="str">
        <f>IF('Seznam zápasů'!H191="","",'Seznam zápasů'!H191)</f>
        <v/>
      </c>
      <c r="DC11" s="39" t="str">
        <f>IF('Seznam zápasů'!I191="","",'Seznam zápasů'!I191)</f>
        <v/>
      </c>
      <c r="DD11" s="39" t="str">
        <f ca="1">IF('Seznam zápasů'!J191="","",'Seznam zápasů'!J191)</f>
        <v>Nadcházející</v>
      </c>
      <c r="DE11" s="42">
        <f>IF('Seznam zápasů'!A161="","",'Seznam zápasů'!A161)</f>
        <v>46347</v>
      </c>
      <c r="DF11" s="39" t="str">
        <f>IF('Seznam zápasů'!B161="","",'Seznam zápasů'!B161)</f>
        <v>So</v>
      </c>
      <c r="DG11" s="39" t="str">
        <f>IF('Seznam zápasů'!D161="","",'Seznam zápasů'!D161)</f>
        <v>žákovská liga</v>
      </c>
      <c r="DH11" s="39" t="str">
        <f>IF('Seznam zápasů'!E161="","",'Seznam zápasů'!E161)</f>
        <v>Jižní Supi</v>
      </c>
      <c r="DI11" s="45" t="str">
        <f>IF('Seznam zápasů'!F161="","",'Seznam zápasů'!F161)</f>
        <v>111</v>
      </c>
      <c r="DJ11" s="39" t="str">
        <f>IF('Seznam zápasů'!G161="","",'Seznam zápasů'!G161)</f>
        <v/>
      </c>
      <c r="DK11" s="39" t="str">
        <f>IF('Seznam zápasů'!H161="","",'Seznam zápasů'!H161)</f>
        <v/>
      </c>
      <c r="DL11" s="39" t="str">
        <f>IF('Seznam zápasů'!I161="","",'Seznam zápasů'!I161)</f>
        <v/>
      </c>
      <c r="DM11" s="39" t="str">
        <f ca="1">IF('Seznam zápasů'!J161="","",'Seznam zápasů'!J161)</f>
        <v>Nadcházející</v>
      </c>
      <c r="DN11" s="42">
        <f>IF('Seznam zápasů'!A173="","",'Seznam zápasů'!A173)</f>
        <v>46348</v>
      </c>
      <c r="DO11" s="39" t="str">
        <f>IF('Seznam zápasů'!B173="","",'Seznam zápasů'!B173)</f>
        <v>Ne</v>
      </c>
      <c r="DP11" s="39" t="str">
        <f>IF('Seznam zápasů'!D173="","",'Seznam zápasů'!D173)</f>
        <v>žákovská liga</v>
      </c>
      <c r="DQ11" s="39" t="str">
        <f>IF('Seznam zápasů'!E173="","",'Seznam zápasů'!E173)</f>
        <v>Žabiny Brno</v>
      </c>
      <c r="DR11" s="45" t="str">
        <f>IF('Seznam zápasů'!F173="","",'Seznam zápasů'!F173)</f>
        <v>144</v>
      </c>
      <c r="DS11" s="39" t="str">
        <f>IF('Seznam zápasů'!G173="","",'Seznam zápasů'!G173)</f>
        <v/>
      </c>
      <c r="DT11" s="39" t="str">
        <f>IF('Seznam zápasů'!H173="","",'Seznam zápasů'!H173)</f>
        <v/>
      </c>
      <c r="DU11" s="39" t="str">
        <f>IF('Seznam zápasů'!I173="","",'Seznam zápasů'!I173)</f>
        <v/>
      </c>
      <c r="DV11" s="39" t="str">
        <f ca="1">IF('Seznam zápasů'!J173="","",'Seznam zápasů'!J173)</f>
        <v>Nadcházející</v>
      </c>
      <c r="DW11" s="42">
        <f>IF('Seznam zápasů'!A236="","",'Seznam zápasů'!A236)</f>
        <v>46403</v>
      </c>
      <c r="DX11" s="39" t="str">
        <f>IF('Seznam zápasů'!B236="","",'Seznam zápasů'!B236)</f>
        <v>So</v>
      </c>
      <c r="DY11" s="39" t="str">
        <f>IF('Seznam zápasů'!D236="","",'Seznam zápasů'!D236)</f>
        <v>nadreg. liga</v>
      </c>
      <c r="DZ11" s="39" t="str">
        <f>IF('Seznam zápasů'!E236="","",'Seznam zápasů'!E236)</f>
        <v>Tygři Praha B</v>
      </c>
      <c r="EA11" s="45" t="str">
        <f>IF('Seznam zápasů'!F236="","",'Seznam zápasů'!F236)</f>
        <v>033</v>
      </c>
      <c r="EB11" s="39" t="str">
        <f>IF('Seznam zápasů'!G236="","",'Seznam zápasů'!G236)</f>
        <v/>
      </c>
      <c r="EC11" s="39" t="str">
        <f>IF('Seznam zápasů'!H236="","",'Seznam zápasů'!H236)</f>
        <v/>
      </c>
      <c r="ED11" s="39" t="str">
        <f>IF('Seznam zápasů'!I236="","",'Seznam zápasů'!I236)</f>
        <v/>
      </c>
      <c r="EE11" s="39" t="str">
        <f ca="1">IF('Seznam zápasů'!J236="","",'Seznam zápasů'!J236)</f>
        <v>Nadcházející</v>
      </c>
      <c r="EF11" s="42">
        <f>IF('Seznam zápasů'!A187="","",'Seznam zápasů'!A187)</f>
        <v>46362</v>
      </c>
      <c r="EG11" s="39" t="str">
        <f>IF('Seznam zápasů'!B187="","",'Seznam zápasů'!B187)</f>
        <v>Ne</v>
      </c>
      <c r="EH11" s="39" t="str">
        <f>IF('Seznam zápasů'!D187="","",'Seznam zápasů'!D187)</f>
        <v>KP + kval. o NF</v>
      </c>
      <c r="EI11" s="39" t="str">
        <f>IF('Seznam zápasů'!E187="","",'Seznam zápasů'!E187)</f>
        <v>BK Český Brod</v>
      </c>
      <c r="EJ11" s="45" t="str">
        <f>IF('Seznam zápasů'!F187="","",'Seznam zápasů'!F187)</f>
        <v>025</v>
      </c>
      <c r="EK11" s="39" t="str">
        <f>IF('Seznam zápasů'!G187="","",'Seznam zápasů'!G187)</f>
        <v/>
      </c>
      <c r="EL11" s="39" t="str">
        <f>IF('Seznam zápasů'!H187="","",'Seznam zápasů'!H187)</f>
        <v/>
      </c>
      <c r="EM11" s="39" t="str">
        <f>IF('Seznam zápasů'!I187="","",'Seznam zápasů'!I187)</f>
        <v/>
      </c>
      <c r="EN11" s="39" t="str">
        <f ca="1">IF('Seznam zápasů'!J187="","",'Seznam zápasů'!J187)</f>
        <v>Nadcházející</v>
      </c>
      <c r="EO11" s="42">
        <f>IF('Seznam zápasů'!A306="","",'Seznam zápasů'!A306)</f>
        <v>46438</v>
      </c>
      <c r="EP11" s="39" t="str">
        <f>IF('Seznam zápasů'!B306="","",'Seznam zápasů'!B306)</f>
        <v>So</v>
      </c>
      <c r="EQ11" s="39" t="str">
        <f>IF('Seznam zápasů'!D306="","",'Seznam zápasů'!D306)</f>
        <v>KP + kval. o NF</v>
      </c>
      <c r="ER11" s="39" t="str">
        <f>IF('Seznam zápasů'!E306="","",'Seznam zápasů'!E306)</f>
        <v>BK Mělník</v>
      </c>
      <c r="ES11" s="45" t="str">
        <f>IF('Seznam zápasů'!F306="","",'Seznam zápasů'!F306)</f>
        <v>2x 032,068</v>
      </c>
      <c r="ET11" s="39" t="str">
        <f>IF('Seznam zápasů'!G306="","",'Seznam zápasů'!G306)</f>
        <v/>
      </c>
      <c r="EU11" s="39" t="str">
        <f>IF('Seznam zápasů'!H306="","",'Seznam zápasů'!H306)</f>
        <v/>
      </c>
      <c r="EV11" s="39" t="str">
        <f>IF('Seznam zápasů'!I306="","",'Seznam zápasů'!I306)</f>
        <v/>
      </c>
      <c r="EW11" s="39" t="str">
        <f ca="1">IF('Seznam zápasů'!J306="","",'Seznam zápasů'!J306)</f>
        <v>Nadcházející</v>
      </c>
      <c r="EX11" s="42">
        <f>IF('Seznam zápasů'!A291="","",'Seznam zápasů'!A291)</f>
        <v>46431</v>
      </c>
      <c r="EY11" s="39" t="str">
        <f>IF('Seznam zápasů'!B291="","",'Seznam zápasů'!B291)</f>
        <v>So</v>
      </c>
      <c r="EZ11" s="39" t="str">
        <f>IF('Seznam zápasů'!D291="","",'Seznam zápasů'!D291)</f>
        <v>KP + kval. o NF</v>
      </c>
      <c r="FA11" s="39" t="str">
        <f>IF('Seznam zápasů'!E291="","",'Seznam zápasů'!E291)</f>
        <v>TJ AŠ Mladá Boleslav</v>
      </c>
      <c r="FB11" s="45" t="str">
        <f>IF('Seznam zápasů'!F291="","",'Seznam zápasů'!F291)</f>
        <v>2x 034,079</v>
      </c>
      <c r="FC11" s="39" t="str">
        <f>IF('Seznam zápasů'!G291="","",'Seznam zápasů'!G291)</f>
        <v/>
      </c>
      <c r="FD11" s="39" t="str">
        <f>IF('Seznam zápasů'!H291="","",'Seznam zápasů'!H291)</f>
        <v/>
      </c>
      <c r="FE11" s="39" t="str">
        <f>IF('Seznam zápasů'!I291="","",'Seznam zápasů'!I291)</f>
        <v/>
      </c>
      <c r="FF11" s="39" t="str">
        <f ca="1">IF('Seznam zápasů'!J291="","",'Seznam zápasů'!J291)</f>
        <v>Nadcházející</v>
      </c>
      <c r="FG11" s="43">
        <f>IF('Seznam zápasů'!A402="","",'Seznam zápasů'!A402)</f>
        <v>46494</v>
      </c>
      <c r="FH11" s="40" t="str">
        <f>IF('Seznam zápasů'!B402="","",'Seznam zápasů'!B402)</f>
        <v>So</v>
      </c>
      <c r="FI11" s="40" t="str">
        <f>IF('Seznam zápasů'!D402="","",'Seznam zápasů'!D402)</f>
        <v>KP</v>
      </c>
      <c r="FJ11" s="40" t="str">
        <f>IF('Seznam zápasů'!E402="","",'Seznam zápasů'!E402)</f>
        <v>1-3,4-5</v>
      </c>
      <c r="FK11" s="46" t="str">
        <f>IF('Seznam zápasů'!F402="","",'Seznam zápasů'!F402)</f>
        <v/>
      </c>
      <c r="FL11" s="40" t="str">
        <f>IF('Seznam zápasů'!G402="","",'Seznam zápasů'!G402)</f>
        <v/>
      </c>
      <c r="FM11" s="40" t="str">
        <f>IF('Seznam zápasů'!H402="","",'Seznam zápasů'!H402)</f>
        <v/>
      </c>
      <c r="FN11" s="40" t="str">
        <f>IF('Seznam zápasů'!I402="","",'Seznam zápasů'!I402)</f>
        <v/>
      </c>
      <c r="FO11" s="40" t="str">
        <f ca="1">IF('Seznam zápasů'!J402="","",'Seznam zápasů'!J402)</f>
        <v>Nadcházející</v>
      </c>
      <c r="FP11" s="42">
        <f>IF('Seznam zápasů'!A149="","",'Seznam zápasů'!A149)</f>
        <v>46341</v>
      </c>
      <c r="FQ11" s="39" t="str">
        <f>IF('Seznam zápasů'!B149="","",'Seznam zápasů'!B149)</f>
        <v>Ne</v>
      </c>
      <c r="FR11" s="39" t="str">
        <f>IF('Seznam zápasů'!D149="","",'Seznam zápasů'!D149)</f>
        <v>KP + kval. o NF</v>
      </c>
      <c r="FS11" s="39" t="str">
        <f>IF('Seznam zápasů'!E149="","",'Seznam zápasů'!E149)</f>
        <v>ŠBK Sadská</v>
      </c>
      <c r="FT11" s="45" t="str">
        <f>IF('Seznam zápasů'!F149="","",'Seznam zápasů'!F149)</f>
        <v>058</v>
      </c>
      <c r="FU11" s="39" t="str">
        <f>IF('Seznam zápasů'!G149="","",'Seznam zápasů'!G149)</f>
        <v/>
      </c>
      <c r="FV11" s="39" t="str">
        <f>IF('Seznam zápasů'!H149="","",'Seznam zápasů'!H149)</f>
        <v/>
      </c>
      <c r="FW11" s="39" t="str">
        <f>IF('Seznam zápasů'!I149="","",'Seznam zápasů'!I149)</f>
        <v/>
      </c>
      <c r="FX11" s="39" t="str">
        <f ca="1">IF('Seznam zápasů'!J149="","",'Seznam zápasů'!J149)</f>
        <v>Nadcházející</v>
      </c>
      <c r="FY11" s="42">
        <f>IF('Seznam zápasů'!A307="","",'Seznam zápasů'!A307)</f>
        <v>46438</v>
      </c>
      <c r="FZ11" s="39" t="str">
        <f>IF('Seznam zápasů'!B307="","",'Seznam zápasů'!B307)</f>
        <v>So</v>
      </c>
      <c r="GA11" s="39" t="str">
        <f>IF('Seznam zápasů'!D307="","",'Seznam zápasů'!D307)</f>
        <v>KP + kval. o NF</v>
      </c>
      <c r="GB11" s="39" t="str">
        <f>IF('Seznam zápasů'!E307="","",'Seznam zápasů'!E307)</f>
        <v>Sokol Nusle</v>
      </c>
      <c r="GC11" s="45" t="str">
        <f>IF('Seznam zápasů'!F307="","",'Seznam zápasů'!F307)</f>
        <v>2x 058, 086</v>
      </c>
      <c r="GD11" s="39" t="str">
        <f>IF('Seznam zápasů'!G307="","",'Seznam zápasů'!G307)</f>
        <v/>
      </c>
      <c r="GE11" s="39" t="str">
        <f>IF('Seznam zápasů'!H307="","",'Seznam zápasů'!H307)</f>
        <v/>
      </c>
      <c r="GF11" s="39" t="str">
        <f>IF('Seznam zápasů'!I307="","",'Seznam zápasů'!I307)</f>
        <v/>
      </c>
      <c r="GG11" s="39" t="str">
        <f ca="1">IF('Seznam zápasů'!J307="","",'Seznam zápasů'!J307)</f>
        <v>Nadcházející</v>
      </c>
      <c r="GH11" s="42">
        <f>IF('Seznam zápasů'!A262="","",'Seznam zápasů'!A262)</f>
        <v>46411</v>
      </c>
      <c r="GI11" s="39" t="str">
        <f>IF('Seznam zápasů'!B262="","",'Seznam zápasů'!B262)</f>
        <v>Ne</v>
      </c>
      <c r="GJ11" s="39" t="str">
        <f>IF('Seznam zápasů'!D262="","",'Seznam zápasů'!D262)</f>
        <v>KP + kval. o NF</v>
      </c>
      <c r="GK11" s="39" t="str">
        <f>IF('Seznam zápasů'!E262="","",'Seznam zápasů'!E262)</f>
        <v>ŠBK Sadská kval.</v>
      </c>
      <c r="GL11" s="45" t="str">
        <f>IF('Seznam zápasů'!F262="","",'Seznam zápasů'!F262)</f>
        <v>007</v>
      </c>
      <c r="GM11" s="39" t="str">
        <f>IF('Seznam zápasů'!G262="","",'Seznam zápasů'!G262)</f>
        <v/>
      </c>
      <c r="GN11" s="39" t="str">
        <f>IF('Seznam zápasů'!H262="","",'Seznam zápasů'!H262)</f>
        <v/>
      </c>
      <c r="GO11" s="39" t="str">
        <f>IF('Seznam zápasů'!I262="","",'Seznam zápasů'!I262)</f>
        <v/>
      </c>
      <c r="GP11" s="39" t="str">
        <f ca="1">IF('Seznam zápasů'!J262="","",'Seznam zápasů'!J262)</f>
        <v>Nadcházející</v>
      </c>
      <c r="GQ11" s="43">
        <f>IF('Seznam zápasů'!A403="","",'Seznam zápasů'!A403)</f>
        <v>46494</v>
      </c>
      <c r="GR11" s="40" t="str">
        <f>IF('Seznam zápasů'!B403="","",'Seznam zápasů'!B403)</f>
        <v>So</v>
      </c>
      <c r="GS11" s="40" t="str">
        <f>IF('Seznam zápasů'!D403="","",'Seznam zápasů'!D403)</f>
        <v>KP</v>
      </c>
      <c r="GT11" s="40" t="str">
        <f>IF('Seznam zápasů'!E403="","",'Seznam zápasů'!E403)</f>
        <v>1-3,4-5</v>
      </c>
      <c r="GU11" s="46" t="str">
        <f>IF('Seznam zápasů'!F403="","",'Seznam zápasů'!F403)</f>
        <v/>
      </c>
      <c r="GV11" s="40" t="str">
        <f>IF('Seznam zápasů'!G403="","",'Seznam zápasů'!G403)</f>
        <v/>
      </c>
      <c r="GW11" s="40" t="str">
        <f>IF('Seznam zápasů'!H403="","",'Seznam zápasů'!H403)</f>
        <v/>
      </c>
      <c r="GX11" s="40" t="str">
        <f>IF('Seznam zápasů'!I403="","",'Seznam zápasů'!I403)</f>
        <v/>
      </c>
      <c r="GY11" s="40" t="str">
        <f ca="1">IF('Seznam zápasů'!J403="","",'Seznam zápasů'!J403)</f>
        <v>Nadcházející</v>
      </c>
    </row>
    <row r="12" spans="1:216" x14ac:dyDescent="0.2">
      <c r="A12" s="42">
        <f>IF('Seznam zápasů'!A176="","",'Seznam zápasů'!A176)</f>
        <v>46355</v>
      </c>
      <c r="B12" s="39" t="str">
        <f>IF('Seznam zápasů'!B176="","",'Seznam zápasů'!B176)</f>
        <v>Ne</v>
      </c>
      <c r="C12" s="39" t="str">
        <f>IF('Seznam zápasů'!D176="","",'Seznam zápasů'!D176)</f>
        <v>SBLM</v>
      </c>
      <c r="D12" s="39" t="str">
        <f>IF('Seznam zápasů'!E176="","",'Seznam zápasů'!E176)</f>
        <v>Basket Poděbrady "B"</v>
      </c>
      <c r="E12" s="45" t="str">
        <f>IF('Seznam zápasů'!F176="","",'Seznam zápasů'!F176)</f>
        <v>063</v>
      </c>
      <c r="F12" s="39" t="str">
        <f>IF('Seznam zápasů'!G176="","",'Seznam zápasů'!G176)</f>
        <v/>
      </c>
      <c r="G12" s="39" t="str">
        <f>IF('Seznam zápasů'!H176="","",'Seznam zápasů'!H176)</f>
        <v/>
      </c>
      <c r="H12" s="39" t="str">
        <f>IF('Seznam zápasů'!I176="","",'Seznam zápasů'!I176)</f>
        <v/>
      </c>
      <c r="I12" s="39" t="str">
        <f ca="1">IF('Seznam zápasů'!J176="","",'Seznam zápasů'!J176)</f>
        <v>Nadcházející</v>
      </c>
      <c r="J12" s="42">
        <f>IF('Seznam zápasů'!A257="","",'Seznam zápasů'!A257)</f>
        <v>46410</v>
      </c>
      <c r="K12" s="39" t="str">
        <f>IF('Seznam zápasů'!B257="","",'Seznam zápasů'!B257)</f>
        <v>So</v>
      </c>
      <c r="L12" s="39" t="str">
        <f>IF('Seznam zápasů'!D257="","",'Seznam zápasů'!D257)</f>
        <v>KP</v>
      </c>
      <c r="M12" s="39" t="str">
        <f>IF('Seznam zápasů'!E257="","",'Seznam zápasů'!E257)</f>
        <v>BK Mělník</v>
      </c>
      <c r="N12" s="45" t="str">
        <f>IF('Seznam zápasů'!F257="","",'Seznam zápasů'!F257)</f>
        <v>046</v>
      </c>
      <c r="O12" s="39" t="str">
        <f>IF('Seznam zápasů'!G257="","",'Seznam zápasů'!G257)</f>
        <v/>
      </c>
      <c r="P12" s="39" t="str">
        <f>IF('Seznam zápasů'!H257="","",'Seznam zápasů'!H257)</f>
        <v/>
      </c>
      <c r="Q12" s="39" t="str">
        <f>IF('Seznam zápasů'!I257="","",'Seznam zápasů'!I257)</f>
        <v/>
      </c>
      <c r="R12" s="39" t="str">
        <f ca="1">IF('Seznam zápasů'!J257="","",'Seznam zápasů'!J257)</f>
        <v>Nadcházející</v>
      </c>
      <c r="S12" s="42">
        <f>IF('Seznam zápasů'!A174="","",'Seznam zápasů'!A174)</f>
        <v>46348</v>
      </c>
      <c r="T12" s="39" t="str">
        <f>IF('Seznam zápasů'!B174="","",'Seznam zápasů'!B174)</f>
        <v>Ne</v>
      </c>
      <c r="U12" s="39" t="str">
        <f>IF('Seznam zápasů'!D174="","",'Seznam zápasů'!D174)</f>
        <v>II. Liga</v>
      </c>
      <c r="V12" s="39" t="str">
        <f>IF('Seznam zápasů'!E174="","",'Seznam zápasů'!E174)</f>
        <v>BK Lvice Litoměřice</v>
      </c>
      <c r="W12" s="45" t="str">
        <f>IF('Seznam zápasů'!F174="","",'Seznam zápasů'!F174)</f>
        <v>038</v>
      </c>
      <c r="X12" s="39" t="str">
        <f>IF('Seznam zápasů'!G174="","",'Seznam zápasů'!G174)</f>
        <v/>
      </c>
      <c r="Y12" s="39" t="str">
        <f>IF('Seznam zápasů'!H174="","",'Seznam zápasů'!H174)</f>
        <v/>
      </c>
      <c r="Z12" s="39" t="str">
        <f>IF('Seznam zápasů'!I174="","",'Seznam zápasů'!I174)</f>
        <v/>
      </c>
      <c r="AA12" s="39" t="str">
        <f ca="1">IF('Seznam zápasů'!J174="","",'Seznam zápasů'!J174)</f>
        <v>Nadcházející</v>
      </c>
      <c r="AB12" s="42">
        <f>IF('Seznam zápasů'!A238="","",'Seznam zápasů'!A238)</f>
        <v>46403</v>
      </c>
      <c r="AC12" s="39" t="str">
        <f>IF('Seznam zápasů'!B238="","",'Seznam zápasů'!B238)</f>
        <v>So</v>
      </c>
      <c r="AD12" s="39" t="str">
        <f>IF('Seznam zápasů'!D238="","",'Seznam zápasů'!D238)</f>
        <v>SBLŽ</v>
      </c>
      <c r="AE12" s="39" t="str">
        <f>IF('Seznam zápasů'!E238="","",'Seznam zápasů'!E238)</f>
        <v>BK Sojky Pelhřimov</v>
      </c>
      <c r="AF12" s="45" t="str">
        <f>IF('Seznam zápasů'!F238="","",'Seznam zápasů'!F238)</f>
        <v>045</v>
      </c>
      <c r="AG12" s="39" t="str">
        <f>IF('Seznam zápasů'!G238="","",'Seznam zápasů'!G238)</f>
        <v/>
      </c>
      <c r="AH12" s="39" t="str">
        <f>IF('Seznam zápasů'!H238="","",'Seznam zápasů'!H238)</f>
        <v/>
      </c>
      <c r="AI12" s="39" t="str">
        <f>IF('Seznam zápasů'!I238="","",'Seznam zápasů'!I238)</f>
        <v/>
      </c>
      <c r="AJ12" s="39" t="str">
        <f ca="1">IF('Seznam zápasů'!J238="","",'Seznam zápasů'!J238)</f>
        <v>Nadcházející</v>
      </c>
      <c r="AK12" s="42">
        <f>IF('Seznam zápasů'!A239="","",'Seznam zápasů'!A239)</f>
        <v>46403</v>
      </c>
      <c r="AL12" s="39" t="str">
        <f>IF('Seznam zápasů'!B239="","",'Seznam zápasů'!B239)</f>
        <v>So</v>
      </c>
      <c r="AM12" s="39" t="str">
        <f>IF('Seznam zápasů'!D239="","",'Seznam zápasů'!D239)</f>
        <v>SBLŽ</v>
      </c>
      <c r="AN12" s="39" t="str">
        <f>IF('Seznam zápasů'!E239="","",'Seznam zápasů'!E239)</f>
        <v>BC Kolín "B"</v>
      </c>
      <c r="AO12" s="45" t="str">
        <f>IF('Seznam zápasů'!F239="","",'Seznam zápasů'!F239)</f>
        <v>046</v>
      </c>
      <c r="AP12" s="39" t="str">
        <f>IF('Seznam zápasů'!G239="","",'Seznam zápasů'!G239)</f>
        <v/>
      </c>
      <c r="AQ12" s="39" t="str">
        <f>IF('Seznam zápasů'!H239="","",'Seznam zápasů'!H239)</f>
        <v/>
      </c>
      <c r="AR12" s="39" t="str">
        <f>IF('Seznam zápasů'!I239="","",'Seznam zápasů'!I239)</f>
        <v/>
      </c>
      <c r="AS12" s="39" t="str">
        <f ca="1">IF('Seznam zápasů'!J239="","",'Seznam zápasů'!J239)</f>
        <v>Nadcházející</v>
      </c>
      <c r="AT12" s="42">
        <f>IF('Seznam zápasů'!A186="","",'Seznam zápasů'!A186)</f>
        <v>46362</v>
      </c>
      <c r="AU12" s="39" t="str">
        <f>IF('Seznam zápasů'!B186="","",'Seznam zápasů'!B186)</f>
        <v>Ne</v>
      </c>
      <c r="AV12" s="39" t="str">
        <f>IF('Seznam zápasů'!D186="","",'Seznam zápasů'!D186)</f>
        <v>NRL</v>
      </c>
      <c r="AW12" s="39" t="str">
        <f>IF('Seznam zápasů'!E186="","",'Seznam zápasů'!E186)</f>
        <v>Radotínský SK</v>
      </c>
      <c r="AX12" s="45" t="str">
        <f>IF('Seznam zápasů'!F186="","",'Seznam zápasů'!F186)</f>
        <v>19263</v>
      </c>
      <c r="AY12" s="39" t="str">
        <f>IF('Seznam zápasů'!G186="","",'Seznam zápasů'!G186)</f>
        <v/>
      </c>
      <c r="AZ12" s="39" t="str">
        <f>IF('Seznam zápasů'!H186="","",'Seznam zápasů'!H186)</f>
        <v/>
      </c>
      <c r="BA12" s="39" t="str">
        <f>IF('Seznam zápasů'!I186="","",'Seznam zápasů'!I186)</f>
        <v/>
      </c>
      <c r="BB12" s="39" t="str">
        <f ca="1">IF('Seznam zápasů'!J186="","",'Seznam zápasů'!J186)</f>
        <v>Nadcházející</v>
      </c>
      <c r="BC12" s="42">
        <f>IF('Seznam zápasů'!A167="","",'Seznam zápasů'!A167)</f>
        <v>46348</v>
      </c>
      <c r="BD12" s="39" t="str">
        <f>IF('Seznam zápasů'!B167="","",'Seznam zápasů'!B167)</f>
        <v>Ne</v>
      </c>
      <c r="BE12" s="39" t="str">
        <f>IF('Seznam zápasů'!D167="","",'Seznam zápasů'!D167)</f>
        <v>nadreg. liga</v>
      </c>
      <c r="BF12" s="39" t="str">
        <f>IF('Seznam zápasů'!E167="","",'Seznam zápasů'!E167)</f>
        <v>Basketbal Újezd nad Lesy</v>
      </c>
      <c r="BG12" s="45" t="str">
        <f>IF('Seznam zápasů'!F167="","",'Seznam zápasů'!F167)</f>
        <v>17168</v>
      </c>
      <c r="BH12" s="39" t="str">
        <f>IF('Seznam zápasů'!G167="","",'Seznam zápasů'!G167)</f>
        <v/>
      </c>
      <c r="BI12" s="39" t="str">
        <f>IF('Seznam zápasů'!H167="","",'Seznam zápasů'!H167)</f>
        <v/>
      </c>
      <c r="BJ12" s="39" t="str">
        <f>IF('Seznam zápasů'!I167="","",'Seznam zápasů'!I167)</f>
        <v/>
      </c>
      <c r="BK12" s="39" t="str">
        <f ca="1">IF('Seznam zápasů'!J167="","",'Seznam zápasů'!J167)</f>
        <v>Nadcházející</v>
      </c>
      <c r="BL12" s="42">
        <f>IF('Seznam zápasů'!A168="","",'Seznam zápasů'!A168)</f>
        <v>46348</v>
      </c>
      <c r="BM12" s="39" t="str">
        <f>IF('Seznam zápasů'!B168="","",'Seznam zápasů'!B168)</f>
        <v>Ne</v>
      </c>
      <c r="BN12" s="39" t="str">
        <f>IF('Seznam zápasů'!D168="","",'Seznam zápasů'!D168)</f>
        <v>celostátní liga</v>
      </c>
      <c r="BO12" s="39" t="str">
        <f>IF('Seznam zápasů'!E168="","",'Seznam zápasů'!E168)</f>
        <v>Sojky Pelhřimov</v>
      </c>
      <c r="BP12" s="45" t="str">
        <f>IF('Seznam zápasů'!F168="","",'Seznam zápasů'!F168)</f>
        <v>096</v>
      </c>
      <c r="BQ12" s="39" t="str">
        <f>IF('Seznam zápasů'!G168="","",'Seznam zápasů'!G168)</f>
        <v/>
      </c>
      <c r="BR12" s="39" t="str">
        <f>IF('Seznam zápasů'!H168="","",'Seznam zápasů'!H168)</f>
        <v/>
      </c>
      <c r="BS12" s="39" t="str">
        <f>IF('Seznam zápasů'!I168="","",'Seznam zápasů'!I168)</f>
        <v/>
      </c>
      <c r="BT12" s="39" t="str">
        <f ca="1">IF('Seznam zápasů'!J168="","",'Seznam zápasů'!J168)</f>
        <v>Nadcházející</v>
      </c>
      <c r="BU12" s="42">
        <f>IF('Seznam zápasů'!A169="","",'Seznam zápasů'!A169)</f>
        <v>46348</v>
      </c>
      <c r="BV12" s="39" t="str">
        <f>IF('Seznam zápasů'!B169="","",'Seznam zápasů'!B169)</f>
        <v>Ne</v>
      </c>
      <c r="BW12" s="39" t="str">
        <f>IF('Seznam zápasů'!D169="","",'Seznam zápasů'!D169)</f>
        <v>nadreg. liga</v>
      </c>
      <c r="BX12" s="39" t="str">
        <f>IF('Seznam zápasů'!E169="","",'Seznam zápasů'!E169)</f>
        <v>BC Wizards</v>
      </c>
      <c r="BY12" s="45" t="str">
        <f>IF('Seznam zápasů'!F169="","",'Seznam zápasů'!F169)</f>
        <v>17587</v>
      </c>
      <c r="BZ12" s="39" t="str">
        <f>IF('Seznam zápasů'!G169="","",'Seznam zápasů'!G169)</f>
        <v/>
      </c>
      <c r="CA12" s="39" t="str">
        <f>IF('Seznam zápasů'!H169="","",'Seznam zápasů'!H169)</f>
        <v/>
      </c>
      <c r="CB12" s="39" t="str">
        <f>IF('Seznam zápasů'!I169="","",'Seznam zápasů'!I169)</f>
        <v/>
      </c>
      <c r="CC12" s="39" t="str">
        <f ca="1">IF('Seznam zápasů'!J169="","",'Seznam zápasů'!J169)</f>
        <v>Nadcházející</v>
      </c>
      <c r="CD12" s="42">
        <f>IF('Seznam zápasů'!A189="","",'Seznam zápasů'!A189)</f>
        <v>46362</v>
      </c>
      <c r="CE12" s="39" t="str">
        <f>IF('Seznam zápasů'!B189="","",'Seznam zápasů'!B189)</f>
        <v>Ne</v>
      </c>
      <c r="CF12" s="39" t="str">
        <f>IF('Seznam zápasů'!D189="","",'Seznam zápasů'!D189)</f>
        <v>žákovská liga</v>
      </c>
      <c r="CG12" s="39" t="str">
        <f>IF('Seznam zápasů'!E189="","",'Seznam zápasů'!E189)</f>
        <v>Tigers České Budějovice</v>
      </c>
      <c r="CH12" s="45" t="str">
        <f>IF('Seznam zápasů'!F189="","",'Seznam zápasů'!F189)</f>
        <v>039</v>
      </c>
      <c r="CI12" s="39" t="str">
        <f>IF('Seznam zápasů'!G189="","",'Seznam zápasů'!G189)</f>
        <v/>
      </c>
      <c r="CJ12" s="39" t="str">
        <f>IF('Seznam zápasů'!H189="","",'Seznam zápasů'!H189)</f>
        <v/>
      </c>
      <c r="CK12" s="39" t="str">
        <f>IF('Seznam zápasů'!I189="","",'Seznam zápasů'!I189)</f>
        <v/>
      </c>
      <c r="CL12" s="39" t="str">
        <f ca="1">IF('Seznam zápasů'!J189="","",'Seznam zápasů'!J189)</f>
        <v>Nadcházející</v>
      </c>
      <c r="CM12" s="42">
        <f>IF('Seznam zápasů'!A190="","",'Seznam zápasů'!A190)</f>
        <v>46362</v>
      </c>
      <c r="CN12" s="39" t="str">
        <f>IF('Seznam zápasů'!B190="","",'Seznam zápasů'!B190)</f>
        <v>Ne</v>
      </c>
      <c r="CO12" s="39" t="str">
        <f>IF('Seznam zápasů'!D190="","",'Seznam zápasů'!D190)</f>
        <v>žákovská liga</v>
      </c>
      <c r="CP12" s="39" t="str">
        <f>IF('Seznam zápasů'!E190="","",'Seznam zápasů'!E190)</f>
        <v>USK Praha</v>
      </c>
      <c r="CQ12" s="45" t="str">
        <f>IF('Seznam zápasů'!F190="","",'Seznam zápasů'!F190)</f>
        <v>038</v>
      </c>
      <c r="CR12" s="39" t="str">
        <f>IF('Seznam zápasů'!G190="","",'Seznam zápasů'!G190)</f>
        <v/>
      </c>
      <c r="CS12" s="39" t="str">
        <f>IF('Seznam zápasů'!H190="","",'Seznam zápasů'!H190)</f>
        <v/>
      </c>
      <c r="CT12" s="39" t="str">
        <f>IF('Seznam zápasů'!I190="","",'Seznam zápasů'!I190)</f>
        <v/>
      </c>
      <c r="CU12" s="39" t="str">
        <f ca="1">IF('Seznam zápasů'!J190="","",'Seznam zápasů'!J190)</f>
        <v>Nadcházející</v>
      </c>
      <c r="CV12" s="42">
        <f>IF('Seznam zápasů'!A218="","",'Seznam zápasů'!A218)</f>
        <v>46396</v>
      </c>
      <c r="CW12" s="39" t="str">
        <f>IF('Seznam zápasů'!B218="","",'Seznam zápasů'!B218)</f>
        <v>So</v>
      </c>
      <c r="CX12" s="39" t="str">
        <f>IF('Seznam zápasů'!D218="","",'Seznam zápasů'!D218)</f>
        <v>nadreg. Liga</v>
      </c>
      <c r="CY12" s="39" t="str">
        <f>IF('Seznam zápasů'!E218="","",'Seznam zápasů'!E218)</f>
        <v>AŠ Mladá Boleslav</v>
      </c>
      <c r="CZ12" s="45" t="str">
        <f>IF('Seznam zápasů'!F218="","",'Seznam zápasů'!F218)</f>
        <v>076</v>
      </c>
      <c r="DA12" s="39" t="str">
        <f>IF('Seznam zápasů'!G218="","",'Seznam zápasů'!G218)</f>
        <v/>
      </c>
      <c r="DB12" s="39" t="str">
        <f>IF('Seznam zápasů'!H218="","",'Seznam zápasů'!H218)</f>
        <v/>
      </c>
      <c r="DC12" s="39" t="str">
        <f>IF('Seznam zápasů'!I218="","",'Seznam zápasů'!I218)</f>
        <v/>
      </c>
      <c r="DD12" s="39" t="str">
        <f ca="1">IF('Seznam zápasů'!J218="","",'Seznam zápasů'!J218)</f>
        <v>Nadcházející</v>
      </c>
      <c r="DE12" s="42">
        <f>IF('Seznam zápasů'!A172="","",'Seznam zápasů'!A172)</f>
        <v>46348</v>
      </c>
      <c r="DF12" s="39" t="str">
        <f>IF('Seznam zápasů'!B172="","",'Seznam zápasů'!B172)</f>
        <v>Ne</v>
      </c>
      <c r="DG12" s="39" t="str">
        <f>IF('Seznam zápasů'!D172="","",'Seznam zápasů'!D172)</f>
        <v>žákovská liga</v>
      </c>
      <c r="DH12" s="39" t="str">
        <f>IF('Seznam zápasů'!E172="","",'Seznam zápasů'!E172)</f>
        <v>BK Brandýs</v>
      </c>
      <c r="DI12" s="45" t="str">
        <f>IF('Seznam zápasů'!F172="","",'Seznam zápasů'!F172)</f>
        <v>120</v>
      </c>
      <c r="DJ12" s="39" t="str">
        <f>IF('Seznam zápasů'!G172="","",'Seznam zápasů'!G172)</f>
        <v/>
      </c>
      <c r="DK12" s="39" t="str">
        <f>IF('Seznam zápasů'!H172="","",'Seznam zápasů'!H172)</f>
        <v/>
      </c>
      <c r="DL12" s="39" t="str">
        <f>IF('Seznam zápasů'!I172="","",'Seznam zápasů'!I172)</f>
        <v/>
      </c>
      <c r="DM12" s="39" t="str">
        <f ca="1">IF('Seznam zápasů'!J172="","",'Seznam zápasů'!J172)</f>
        <v>Nadcházející</v>
      </c>
      <c r="DN12" s="42">
        <f>IF('Seznam zápasů'!A208="","",'Seznam zápasů'!A208)</f>
        <v>46369</v>
      </c>
      <c r="DO12" s="39" t="str">
        <f>IF('Seznam zápasů'!B208="","",'Seznam zápasů'!B208)</f>
        <v>Ne</v>
      </c>
      <c r="DP12" s="39" t="str">
        <f>IF('Seznam zápasů'!D208="","",'Seznam zápasů'!D208)</f>
        <v>žákovská liga</v>
      </c>
      <c r="DQ12" s="39" t="str">
        <f>IF('Seznam zápasů'!E208="","",'Seznam zápasů'!E208)</f>
        <v>Studánka Pardubice</v>
      </c>
      <c r="DR12" s="45" t="str">
        <f>IF('Seznam zápasů'!F208="","",'Seznam zápasů'!F208)</f>
        <v>148</v>
      </c>
      <c r="DS12" s="39" t="str">
        <f>IF('Seznam zápasů'!G208="","",'Seznam zápasů'!G208)</f>
        <v/>
      </c>
      <c r="DT12" s="39" t="str">
        <f>IF('Seznam zápasů'!H208="","",'Seznam zápasů'!H208)</f>
        <v/>
      </c>
      <c r="DU12" s="39" t="str">
        <f>IF('Seznam zápasů'!I208="","",'Seznam zápasů'!I208)</f>
        <v/>
      </c>
      <c r="DV12" s="39" t="str">
        <f ca="1">IF('Seznam zápasů'!J208="","",'Seznam zápasů'!J208)</f>
        <v>Nadcházející</v>
      </c>
      <c r="DW12" s="42">
        <f>IF('Seznam zápasů'!A247="","",'Seznam zápasů'!A247)</f>
        <v>46404</v>
      </c>
      <c r="DX12" s="39" t="str">
        <f>IF('Seznam zápasů'!B247="","",'Seznam zápasů'!B247)</f>
        <v>Ne</v>
      </c>
      <c r="DY12" s="39" t="str">
        <f>IF('Seznam zápasů'!D247="","",'Seznam zápasů'!D247)</f>
        <v>nadreg. liga</v>
      </c>
      <c r="DZ12" s="39" t="str">
        <f>IF('Seznam zápasů'!E247="","",'Seznam zápasů'!E247)</f>
        <v>Basket Slovanka B</v>
      </c>
      <c r="EA12" s="45" t="str">
        <f>IF('Seznam zápasů'!F247="","",'Seznam zápasů'!F247)</f>
        <v>035</v>
      </c>
      <c r="EB12" s="39" t="str">
        <f>IF('Seznam zápasů'!G247="","",'Seznam zápasů'!G247)</f>
        <v/>
      </c>
      <c r="EC12" s="39" t="str">
        <f>IF('Seznam zápasů'!H247="","",'Seznam zápasů'!H247)</f>
        <v/>
      </c>
      <c r="ED12" s="39" t="str">
        <f>IF('Seznam zápasů'!I247="","",'Seznam zápasů'!I247)</f>
        <v/>
      </c>
      <c r="EE12" s="39" t="str">
        <f ca="1">IF('Seznam zápasů'!J247="","",'Seznam zápasů'!J247)</f>
        <v>Nadcházející</v>
      </c>
      <c r="EF12" s="42">
        <f>IF('Seznam zápasů'!A220="","",'Seznam zápasů'!A220)</f>
        <v>46397</v>
      </c>
      <c r="EG12" s="39" t="str">
        <f>IF('Seznam zápasů'!B220="","",'Seznam zápasů'!B220)</f>
        <v>Ne</v>
      </c>
      <c r="EH12" s="39" t="str">
        <f>IF('Seznam zápasů'!D220="","",'Seznam zápasů'!D220)</f>
        <v>KP + kval. o NF</v>
      </c>
      <c r="EI12" s="39" t="str">
        <f>IF('Seznam zápasů'!E220="","",'Seznam zápasů'!E220)</f>
        <v>Basket Poděbrady</v>
      </c>
      <c r="EJ12" s="45" t="str">
        <f>IF('Seznam zápasů'!F220="","",'Seznam zápasů'!F220)</f>
        <v>032</v>
      </c>
      <c r="EK12" s="39" t="str">
        <f>IF('Seznam zápasů'!G220="","",'Seznam zápasů'!G220)</f>
        <v/>
      </c>
      <c r="EL12" s="39" t="str">
        <f>IF('Seznam zápasů'!H220="","",'Seznam zápasů'!H220)</f>
        <v/>
      </c>
      <c r="EM12" s="39" t="str">
        <f>IF('Seznam zápasů'!I220="","",'Seznam zápasů'!I220)</f>
        <v/>
      </c>
      <c r="EN12" s="39" t="str">
        <f ca="1">IF('Seznam zápasů'!J220="","",'Seznam zápasů'!J220)</f>
        <v>Nadcházející</v>
      </c>
      <c r="EO12" s="42">
        <f>IF('Seznam zápasů'!A342="","",'Seznam zápasů'!A342)</f>
        <v>46459</v>
      </c>
      <c r="EP12" s="39" t="str">
        <f>IF('Seznam zápasů'!B342="","",'Seznam zápasů'!B342)</f>
        <v>So</v>
      </c>
      <c r="EQ12" s="39" t="str">
        <f>IF('Seznam zápasů'!D342="","",'Seznam zápasů'!D342)</f>
        <v>KP + kval. o NF</v>
      </c>
      <c r="ER12" s="39" t="str">
        <f>IF('Seznam zápasů'!E342="","",'Seznam zápasů'!E342)</f>
        <v>Brandýs-Nymburk-BN 004-006</v>
      </c>
      <c r="ES12" s="45" t="str">
        <f>IF('Seznam zápasů'!F342="","",'Seznam zápasů'!F342)</f>
        <v/>
      </c>
      <c r="ET12" s="39" t="str">
        <f>IF('Seznam zápasů'!G342="","",'Seznam zápasů'!G342)</f>
        <v/>
      </c>
      <c r="EU12" s="39" t="str">
        <f>IF('Seznam zápasů'!H342="","",'Seznam zápasů'!H342)</f>
        <v/>
      </c>
      <c r="EV12" s="39" t="str">
        <f>IF('Seznam zápasů'!I342="","",'Seznam zápasů'!I342)</f>
        <v/>
      </c>
      <c r="EW12" s="39" t="str">
        <f ca="1">IF('Seznam zápasů'!J342="","",'Seznam zápasů'!J342)</f>
        <v>Nadcházející</v>
      </c>
      <c r="EX12" s="42">
        <f>IF('Seznam zápasů'!A329="","",'Seznam zápasů'!A329)</f>
        <v>46452</v>
      </c>
      <c r="EY12" s="39" t="str">
        <f>IF('Seznam zápasů'!B329="","",'Seznam zápasů'!B329)</f>
        <v>So</v>
      </c>
      <c r="EZ12" s="39" t="str">
        <f>IF('Seznam zápasů'!D329="","",'Seznam zápasů'!D329)</f>
        <v>KP + kval. o NF</v>
      </c>
      <c r="FA12" s="39" t="str">
        <f>IF('Seznam zápasů'!E329="","",'Seznam zápasů'!E329)</f>
        <v>NBK Milovice</v>
      </c>
      <c r="FB12" s="45" t="str">
        <f>IF('Seznam zápasů'!F329="","",'Seznam zápasů'!F329)</f>
        <v>2x 034,083</v>
      </c>
      <c r="FC12" s="39" t="str">
        <f>IF('Seznam zápasů'!G329="","",'Seznam zápasů'!G329)</f>
        <v/>
      </c>
      <c r="FD12" s="39" t="str">
        <f>IF('Seznam zápasů'!H329="","",'Seznam zápasů'!H329)</f>
        <v/>
      </c>
      <c r="FE12" s="39" t="str">
        <f>IF('Seznam zápasů'!I329="","",'Seznam zápasů'!I329)</f>
        <v/>
      </c>
      <c r="FF12" s="39" t="str">
        <f ca="1">IF('Seznam zápasů'!J329="","",'Seznam zápasů'!J329)</f>
        <v>Nadcházející</v>
      </c>
      <c r="FP12" s="42">
        <f>IF('Seznam zápasů'!A170="","",'Seznam zápasů'!A170)</f>
        <v>46348</v>
      </c>
      <c r="FQ12" s="39" t="str">
        <f>IF('Seznam zápasů'!B170="","",'Seznam zápasů'!B170)</f>
        <v>Ne</v>
      </c>
      <c r="FR12" s="39" t="str">
        <f>IF('Seznam zápasů'!D170="","",'Seznam zápasů'!D170)</f>
        <v>KP + kval. o NF</v>
      </c>
      <c r="FS12" s="39" t="str">
        <f>IF('Seznam zápasů'!E170="","",'Seznam zápasů'!E170)</f>
        <v>BK Kralupy Junior</v>
      </c>
      <c r="FT12" s="45" t="str">
        <f>IF('Seznam zápasů'!F170="","",'Seznam zápasů'!F170)</f>
        <v>036</v>
      </c>
      <c r="FU12" s="39" t="str">
        <f>IF('Seznam zápasů'!G170="","",'Seznam zápasů'!G170)</f>
        <v/>
      </c>
      <c r="FV12" s="39" t="str">
        <f>IF('Seznam zápasů'!H170="","",'Seznam zápasů'!H170)</f>
        <v/>
      </c>
      <c r="FW12" s="39" t="str">
        <f>IF('Seznam zápasů'!I170="","",'Seznam zápasů'!I170)</f>
        <v/>
      </c>
      <c r="FX12" s="39" t="str">
        <f ca="1">IF('Seznam zápasů'!J170="","",'Seznam zápasů'!J170)</f>
        <v>Nadcházející</v>
      </c>
      <c r="FY12" s="42">
        <f>IF('Seznam zápasů'!A343="","",'Seznam zápasů'!A343)</f>
        <v>46459</v>
      </c>
      <c r="FZ12" s="39" t="str">
        <f>IF('Seznam zápasů'!B343="","",'Seznam zápasů'!B343)</f>
        <v>So</v>
      </c>
      <c r="GA12" s="39" t="str">
        <f>IF('Seznam zápasů'!D343="","",'Seznam zápasů'!D343)</f>
        <v>KP + kval. o NF</v>
      </c>
      <c r="GB12" s="39" t="str">
        <f>IF('Seznam zápasů'!E343="","",'Seznam zápasů'!E343)</f>
        <v>ŠBK Sadská kval.</v>
      </c>
      <c r="GC12" s="45" t="str">
        <f>IF('Seznam zápasů'!F343="","",'Seznam zápasů'!F343)</f>
        <v>003</v>
      </c>
      <c r="GD12" s="39" t="str">
        <f>IF('Seznam zápasů'!G343="","",'Seznam zápasů'!G343)</f>
        <v/>
      </c>
      <c r="GE12" s="39" t="str">
        <f>IF('Seznam zápasů'!H343="","",'Seznam zápasů'!H343)</f>
        <v/>
      </c>
      <c r="GF12" s="39" t="str">
        <f>IF('Seznam zápasů'!I343="","",'Seznam zápasů'!I343)</f>
        <v/>
      </c>
      <c r="GG12" s="39" t="str">
        <f ca="1">IF('Seznam zápasů'!J343="","",'Seznam zápasů'!J343)</f>
        <v>Nadcházející</v>
      </c>
      <c r="GH12" s="42">
        <f>IF('Seznam zápasů'!A321="","",'Seznam zápasů'!A321)</f>
        <v>46445</v>
      </c>
      <c r="GI12" s="39" t="str">
        <f>IF('Seznam zápasů'!B321="","",'Seznam zápasů'!B321)</f>
        <v>So</v>
      </c>
      <c r="GJ12" s="39" t="str">
        <f>IF('Seznam zápasů'!D321="","",'Seznam zápasů'!D321)</f>
        <v>KP + kval. o NF</v>
      </c>
      <c r="GK12" s="39" t="str">
        <f>IF('Seznam zápasů'!E321="","",'Seznam zápasů'!E321)</f>
        <v>BK Příbram 2000</v>
      </c>
      <c r="GL12" s="45" t="str">
        <f>IF('Seznam zápasů'!F321="","",'Seznam zápasů'!F321)</f>
        <v>2x 019,040</v>
      </c>
      <c r="GM12" s="39" t="str">
        <f>IF('Seznam zápasů'!G321="","",'Seznam zápasů'!G321)</f>
        <v/>
      </c>
      <c r="GN12" s="39" t="str">
        <f>IF('Seznam zápasů'!H321="","",'Seznam zápasů'!H321)</f>
        <v/>
      </c>
      <c r="GO12" s="39" t="str">
        <f>IF('Seznam zápasů'!I321="","",'Seznam zápasů'!I321)</f>
        <v/>
      </c>
      <c r="GP12" s="39" t="str">
        <f ca="1">IF('Seznam zápasů'!J321="","",'Seznam zápasů'!J321)</f>
        <v>Nadcházející</v>
      </c>
    </row>
    <row r="13" spans="1:216" x14ac:dyDescent="0.2">
      <c r="A13" s="42">
        <f>IF('Seznam zápasů'!A199="","",'Seznam zápasů'!A199)</f>
        <v>46368</v>
      </c>
      <c r="B13" s="39" t="str">
        <f>IF('Seznam zápasů'!B199="","",'Seznam zápasů'!B199)</f>
        <v>So</v>
      </c>
      <c r="C13" s="39" t="str">
        <f>IF('Seznam zápasů'!D199="","",'Seznam zápasů'!D199)</f>
        <v>SBLM</v>
      </c>
      <c r="D13" s="39" t="str">
        <f>IF('Seznam zápasů'!E199="","",'Seznam zápasů'!E199)</f>
        <v>ŠSK Slaný</v>
      </c>
      <c r="E13" s="45" t="str">
        <f>IF('Seznam zápasů'!F199="","",'Seznam zápasů'!F199)</f>
        <v>071</v>
      </c>
      <c r="F13" s="39" t="str">
        <f>IF('Seznam zápasů'!G199="","",'Seznam zápasů'!G199)</f>
        <v/>
      </c>
      <c r="G13" s="39" t="str">
        <f>IF('Seznam zápasů'!H199="","",'Seznam zápasů'!H199)</f>
        <v/>
      </c>
      <c r="H13" s="39" t="str">
        <f>IF('Seznam zápasů'!I199="","",'Seznam zápasů'!I199)</f>
        <v/>
      </c>
      <c r="I13" s="39" t="str">
        <f ca="1">IF('Seznam zápasů'!J199="","",'Seznam zápasů'!J199)</f>
        <v>Nadcházející</v>
      </c>
      <c r="J13" s="42">
        <f>IF('Seznam zápasů'!A264="","",'Seznam zápasů'!A264)</f>
        <v>46411</v>
      </c>
      <c r="K13" s="39" t="str">
        <f>IF('Seznam zápasů'!B264="","",'Seznam zápasů'!B264)</f>
        <v>Ne</v>
      </c>
      <c r="L13" s="39" t="str">
        <f>IF('Seznam zápasů'!D264="","",'Seznam zápasů'!D264)</f>
        <v>KP</v>
      </c>
      <c r="M13" s="39" t="str">
        <f>IF('Seznam zápasů'!E264="","",'Seznam zápasů'!E264)</f>
        <v>AŠ Mladá Boleslav "B"</v>
      </c>
      <c r="N13" s="45" t="str">
        <f>IF('Seznam zápasů'!F264="","",'Seznam zápasů'!F264)</f>
        <v>049</v>
      </c>
      <c r="O13" s="39" t="str">
        <f>IF('Seznam zápasů'!G264="","",'Seznam zápasů'!G264)</f>
        <v/>
      </c>
      <c r="P13" s="39" t="str">
        <f>IF('Seznam zápasů'!H264="","",'Seznam zápasů'!H264)</f>
        <v/>
      </c>
      <c r="Q13" s="39" t="str">
        <f>IF('Seznam zápasů'!I264="","",'Seznam zápasů'!I264)</f>
        <v/>
      </c>
      <c r="R13" s="39" t="str">
        <f ca="1">IF('Seznam zápasů'!J264="","",'Seznam zápasů'!J264)</f>
        <v>Nadcházející</v>
      </c>
      <c r="S13" s="42">
        <f>IF('Seznam zápasů'!A201="","",'Seznam zápasů'!A201)</f>
        <v>46368</v>
      </c>
      <c r="T13" s="39" t="str">
        <f>IF('Seznam zápasů'!B201="","",'Seznam zápasů'!B201)</f>
        <v>So</v>
      </c>
      <c r="U13" s="39" t="str">
        <f>IF('Seznam zápasů'!D201="","",'Seznam zápasů'!D201)</f>
        <v>II. Liga</v>
      </c>
      <c r="V13" s="39" t="str">
        <f>IF('Seznam zápasů'!E201="","",'Seznam zápasů'!E201)</f>
        <v>Sokol Kladno</v>
      </c>
      <c r="W13" s="45" t="str">
        <f>IF('Seznam zápasů'!F201="","",'Seznam zápasů'!F201)</f>
        <v>042</v>
      </c>
      <c r="X13" s="39" t="str">
        <f>IF('Seznam zápasů'!G201="","",'Seznam zápasů'!G201)</f>
        <v/>
      </c>
      <c r="Y13" s="39" t="str">
        <f>IF('Seznam zápasů'!H201="","",'Seznam zápasů'!H201)</f>
        <v/>
      </c>
      <c r="Z13" s="39" t="str">
        <f>IF('Seznam zápasů'!I201="","",'Seznam zápasů'!I201)</f>
        <v/>
      </c>
      <c r="AA13" s="39" t="str">
        <f ca="1">IF('Seznam zápasů'!J201="","",'Seznam zápasů'!J201)</f>
        <v>Nadcházející</v>
      </c>
      <c r="AB13" s="42">
        <f>IF('Seznam zápasů'!A249="","",'Seznam zápasů'!A249)</f>
        <v>46404</v>
      </c>
      <c r="AC13" s="39" t="str">
        <f>IF('Seznam zápasů'!B249="","",'Seznam zápasů'!B249)</f>
        <v>Ne</v>
      </c>
      <c r="AD13" s="39" t="str">
        <f>IF('Seznam zápasů'!D249="","",'Seznam zápasů'!D249)</f>
        <v>SBLŽ</v>
      </c>
      <c r="AE13" s="39" t="str">
        <f>IF('Seznam zápasů'!E249="","",'Seznam zápasů'!E249)</f>
        <v>BC Kolín "B"</v>
      </c>
      <c r="AF13" s="45" t="str">
        <f>IF('Seznam zápasů'!F249="","",'Seznam zápasů'!F249)</f>
        <v>048</v>
      </c>
      <c r="AG13" s="39" t="str">
        <f>IF('Seznam zápasů'!G249="","",'Seznam zápasů'!G249)</f>
        <v/>
      </c>
      <c r="AH13" s="39" t="str">
        <f>IF('Seznam zápasů'!H249="","",'Seznam zápasů'!H249)</f>
        <v/>
      </c>
      <c r="AI13" s="39" t="str">
        <f>IF('Seznam zápasů'!I249="","",'Seznam zápasů'!I249)</f>
        <v/>
      </c>
      <c r="AJ13" s="39" t="str">
        <f ca="1">IF('Seznam zápasů'!J249="","",'Seznam zápasů'!J249)</f>
        <v>Nadcházející</v>
      </c>
      <c r="AK13" s="42">
        <f>IF('Seznam zápasů'!A250="","",'Seznam zápasů'!A250)</f>
        <v>46404</v>
      </c>
      <c r="AL13" s="39" t="str">
        <f>IF('Seznam zápasů'!B250="","",'Seznam zápasů'!B250)</f>
        <v>Ne</v>
      </c>
      <c r="AM13" s="39" t="str">
        <f>IF('Seznam zápasů'!D250="","",'Seznam zápasů'!D250)</f>
        <v>SBLŽ</v>
      </c>
      <c r="AN13" s="39" t="str">
        <f>IF('Seznam zápasů'!E250="","",'Seznam zápasů'!E250)</f>
        <v>BK Sojky Pelhřimov</v>
      </c>
      <c r="AO13" s="45" t="str">
        <f>IF('Seznam zápasů'!F250="","",'Seznam zápasů'!F250)</f>
        <v>049</v>
      </c>
      <c r="AP13" s="39" t="str">
        <f>IF('Seznam zápasů'!G250="","",'Seznam zápasů'!G250)</f>
        <v/>
      </c>
      <c r="AQ13" s="39" t="str">
        <f>IF('Seznam zápasů'!H250="","",'Seznam zápasů'!H250)</f>
        <v/>
      </c>
      <c r="AR13" s="39" t="str">
        <f>IF('Seznam zápasů'!I250="","",'Seznam zápasů'!I250)</f>
        <v/>
      </c>
      <c r="AS13" s="39" t="str">
        <f ca="1">IF('Seznam zápasů'!J250="","",'Seznam zápasů'!J250)</f>
        <v>Nadcházející</v>
      </c>
      <c r="AT13" s="42">
        <f>IF('Seznam zápasů'!A212="","",'Seznam zápasů'!A212)</f>
        <v>46396</v>
      </c>
      <c r="AU13" s="39" t="str">
        <f>IF('Seznam zápasů'!B212="","",'Seznam zápasů'!B212)</f>
        <v>So</v>
      </c>
      <c r="AV13" s="39" t="str">
        <f>IF('Seznam zápasů'!D212="","",'Seznam zápasů'!D212)</f>
        <v>NRL</v>
      </c>
      <c r="AW13" s="39" t="str">
        <f>IF('Seznam zápasů'!E212="","",'Seznam zápasů'!E212)</f>
        <v>TJ Třebíč</v>
      </c>
      <c r="AX13" s="45" t="str">
        <f>IF('Seznam zápasů'!F212="","",'Seznam zápasů'!F212)</f>
        <v>19268</v>
      </c>
      <c r="AY13" s="39" t="str">
        <f>IF('Seznam zápasů'!G212="","",'Seznam zápasů'!G212)</f>
        <v/>
      </c>
      <c r="AZ13" s="39" t="str">
        <f>IF('Seznam zápasů'!H212="","",'Seznam zápasů'!H212)</f>
        <v/>
      </c>
      <c r="BA13" s="39" t="str">
        <f>IF('Seznam zápasů'!I212="","",'Seznam zápasů'!I212)</f>
        <v/>
      </c>
      <c r="BB13" s="39" t="str">
        <f ca="1">IF('Seznam zápasů'!J212="","",'Seznam zápasů'!J212)</f>
        <v>Nadcházející</v>
      </c>
      <c r="BC13" s="42">
        <f>IF('Seznam zápasů'!A192="","",'Seznam zápasů'!A192)</f>
        <v>46368</v>
      </c>
      <c r="BD13" s="39" t="str">
        <f>IF('Seznam zápasů'!B192="","",'Seznam zápasů'!B192)</f>
        <v>So</v>
      </c>
      <c r="BE13" s="39" t="str">
        <f>IF('Seznam zápasů'!D192="","",'Seznam zápasů'!D192)</f>
        <v>nadreg. liga</v>
      </c>
      <c r="BF13" s="39" t="str">
        <f>IF('Seznam zápasů'!E192="","",'Seznam zápasů'!E192)</f>
        <v>Sokol Pečky</v>
      </c>
      <c r="BG13" s="45" t="str">
        <f>IF('Seznam zápasů'!F192="","",'Seznam zápasů'!F192)</f>
        <v>17175</v>
      </c>
      <c r="BH13" s="39" t="str">
        <f>IF('Seznam zápasů'!G192="","",'Seznam zápasů'!G192)</f>
        <v/>
      </c>
      <c r="BI13" s="39" t="str">
        <f>IF('Seznam zápasů'!H192="","",'Seznam zápasů'!H192)</f>
        <v/>
      </c>
      <c r="BJ13" s="39" t="str">
        <f>IF('Seznam zápasů'!I192="","",'Seznam zápasů'!I192)</f>
        <v/>
      </c>
      <c r="BK13" s="39" t="str">
        <f ca="1">IF('Seznam zápasů'!J192="","",'Seznam zápasů'!J192)</f>
        <v>Nadcházející</v>
      </c>
      <c r="BL13" s="42">
        <f>IF('Seznam zápasů'!A193="","",'Seznam zápasů'!A193)</f>
        <v>46368</v>
      </c>
      <c r="BM13" s="39" t="str">
        <f>IF('Seznam zápasů'!B193="","",'Seznam zápasů'!B193)</f>
        <v>So</v>
      </c>
      <c r="BN13" s="39" t="str">
        <f>IF('Seznam zápasů'!D193="","",'Seznam zápasů'!D193)</f>
        <v>celostátní liga</v>
      </c>
      <c r="BO13" s="39" t="str">
        <f>IF('Seznam zápasů'!E193="","",'Seznam zápasů'!E193)</f>
        <v>TJ AŠ Mladá Boleslav</v>
      </c>
      <c r="BP13" s="45" t="str">
        <f>IF('Seznam zápasů'!F193="","",'Seznam zápasů'!F193)</f>
        <v>099</v>
      </c>
      <c r="BQ13" s="39" t="str">
        <f>IF('Seznam zápasů'!G193="","",'Seznam zápasů'!G193)</f>
        <v/>
      </c>
      <c r="BR13" s="39" t="str">
        <f>IF('Seznam zápasů'!H193="","",'Seznam zápasů'!H193)</f>
        <v/>
      </c>
      <c r="BS13" s="39" t="str">
        <f>IF('Seznam zápasů'!I193="","",'Seznam zápasů'!I193)</f>
        <v/>
      </c>
      <c r="BT13" s="39" t="str">
        <f ca="1">IF('Seznam zápasů'!J193="","",'Seznam zápasů'!J193)</f>
        <v>Nadcházející</v>
      </c>
      <c r="BU13" s="42">
        <f>IF('Seznam zápasů'!A194="","",'Seznam zápasů'!A194)</f>
        <v>46368</v>
      </c>
      <c r="BV13" s="39" t="str">
        <f>IF('Seznam zápasů'!B194="","",'Seznam zápasů'!B194)</f>
        <v>So</v>
      </c>
      <c r="BW13" s="39" t="str">
        <f>IF('Seznam zápasů'!D194="","",'Seznam zápasů'!D194)</f>
        <v>nadreg. liga</v>
      </c>
      <c r="BX13" s="39" t="str">
        <f>IF('Seznam zápasů'!E194="","",'Seznam zápasů'!E194)</f>
        <v>Radotínský SK</v>
      </c>
      <c r="BY13" s="45" t="str">
        <f>IF('Seznam zápasů'!F194="","",'Seznam zápasů'!F194)</f>
        <v>17592</v>
      </c>
      <c r="BZ13" s="39" t="str">
        <f>IF('Seznam zápasů'!G194="","",'Seznam zápasů'!G194)</f>
        <v/>
      </c>
      <c r="CA13" s="39" t="str">
        <f>IF('Seznam zápasů'!H194="","",'Seznam zápasů'!H194)</f>
        <v/>
      </c>
      <c r="CB13" s="39" t="str">
        <f>IF('Seznam zápasů'!I194="","",'Seznam zápasů'!I194)</f>
        <v/>
      </c>
      <c r="CC13" s="39" t="str">
        <f ca="1">IF('Seznam zápasů'!J194="","",'Seznam zápasů'!J194)</f>
        <v>Nadcházející</v>
      </c>
      <c r="CD13" s="42">
        <f>IF('Seznam zápasů'!A216="","",'Seznam zápasů'!A216)</f>
        <v>46396</v>
      </c>
      <c r="CE13" s="39" t="str">
        <f>IF('Seznam zápasů'!B216="","",'Seznam zápasů'!B216)</f>
        <v>So</v>
      </c>
      <c r="CF13" s="39" t="str">
        <f>IF('Seznam zápasů'!D216="","",'Seznam zápasů'!D216)</f>
        <v>žákovská liga</v>
      </c>
      <c r="CG13" s="39" t="str">
        <f>IF('Seznam zápasů'!E216="","",'Seznam zápasů'!E216)</f>
        <v>TJ Sokol Kbely</v>
      </c>
      <c r="CH13" s="45" t="str">
        <f>IF('Seznam zápasů'!F216="","",'Seznam zápasů'!F216)</f>
        <v>044</v>
      </c>
      <c r="CI13" s="39" t="str">
        <f>IF('Seznam zápasů'!G216="","",'Seznam zápasů'!G216)</f>
        <v/>
      </c>
      <c r="CJ13" s="39" t="str">
        <f>IF('Seznam zápasů'!H216="","",'Seznam zápasů'!H216)</f>
        <v/>
      </c>
      <c r="CK13" s="39" t="str">
        <f>IF('Seznam zápasů'!I216="","",'Seznam zápasů'!I216)</f>
        <v/>
      </c>
      <c r="CL13" s="39" t="str">
        <f ca="1">IF('Seznam zápasů'!J216="","",'Seznam zápasů'!J216)</f>
        <v>Nadcházející</v>
      </c>
      <c r="CM13" s="42">
        <f>IF('Seznam zápasů'!A217="","",'Seznam zápasů'!A217)</f>
        <v>46396</v>
      </c>
      <c r="CN13" s="39" t="str">
        <f>IF('Seznam zápasů'!B217="","",'Seznam zápasů'!B217)</f>
        <v>So</v>
      </c>
      <c r="CO13" s="39" t="str">
        <f>IF('Seznam zápasů'!D217="","",'Seznam zápasů'!D217)</f>
        <v>žákovská liga</v>
      </c>
      <c r="CP13" s="39" t="str">
        <f>IF('Seznam zápasů'!E217="","",'Seznam zápasů'!E217)</f>
        <v>BK Strakonice</v>
      </c>
      <c r="CQ13" s="45" t="str">
        <f>IF('Seznam zápasů'!F217="","",'Seznam zápasů'!F217)</f>
        <v>044</v>
      </c>
      <c r="CR13" s="39" t="str">
        <f>IF('Seznam zápasů'!G217="","",'Seznam zápasů'!G217)</f>
        <v/>
      </c>
      <c r="CS13" s="39" t="str">
        <f>IF('Seznam zápasů'!H217="","",'Seznam zápasů'!H217)</f>
        <v/>
      </c>
      <c r="CT13" s="39" t="str">
        <f>IF('Seznam zápasů'!I217="","",'Seznam zápasů'!I217)</f>
        <v/>
      </c>
      <c r="CU13" s="39" t="str">
        <f ca="1">IF('Seznam zápasů'!J217="","",'Seznam zápasů'!J217)</f>
        <v>Nadcházející</v>
      </c>
      <c r="CV13" s="42">
        <f>IF('Seznam zápasů'!A226="","",'Seznam zápasů'!A226)</f>
        <v>46397</v>
      </c>
      <c r="CW13" s="39" t="str">
        <f>IF('Seznam zápasů'!B226="","",'Seznam zápasů'!B226)</f>
        <v>Ne</v>
      </c>
      <c r="CX13" s="39" t="str">
        <f>IF('Seznam zápasů'!D226="","",'Seznam zápasů'!D226)</f>
        <v>nadreg. Liga</v>
      </c>
      <c r="CY13" s="39" t="str">
        <f>IF('Seznam zápasů'!E226="","",'Seznam zápasů'!E226)</f>
        <v>Bižu Jablonecko B</v>
      </c>
      <c r="CZ13" s="45" t="str">
        <f>IF('Seznam zápasů'!F226="","",'Seznam zápasů'!F226)</f>
        <v>081</v>
      </c>
      <c r="DA13" s="39" t="str">
        <f>IF('Seznam zápasů'!G226="","",'Seznam zápasů'!G226)</f>
        <v/>
      </c>
      <c r="DB13" s="39" t="str">
        <f>IF('Seznam zápasů'!H226="","",'Seznam zápasů'!H226)</f>
        <v/>
      </c>
      <c r="DC13" s="39" t="str">
        <f>IF('Seznam zápasů'!I226="","",'Seznam zápasů'!I226)</f>
        <v/>
      </c>
      <c r="DD13" s="39" t="str">
        <f ca="1">IF('Seznam zápasů'!J226="","",'Seznam zápasů'!J226)</f>
        <v>Nadcházející</v>
      </c>
      <c r="DE13" s="42">
        <f>IF('Seznam zápasů'!A200="","",'Seznam zápasů'!A200)</f>
        <v>46368</v>
      </c>
      <c r="DF13" s="39" t="str">
        <f>IF('Seznam zápasů'!B200="","",'Seznam zápasů'!B200)</f>
        <v>So</v>
      </c>
      <c r="DG13" s="39" t="str">
        <f>IF('Seznam zápasů'!D200="","",'Seznam zápasů'!D200)</f>
        <v>žákovská liga</v>
      </c>
      <c r="DH13" s="39" t="str">
        <f>IF('Seznam zápasů'!E200="","",'Seznam zápasů'!E200)</f>
        <v>Slavia Tygři Praha</v>
      </c>
      <c r="DI13" s="45" t="str">
        <f>IF('Seznam zápasů'!F200="","",'Seznam zápasů'!F200)</f>
        <v>122</v>
      </c>
      <c r="DJ13" s="39" t="str">
        <f>IF('Seznam zápasů'!G200="","",'Seznam zápasů'!G200)</f>
        <v/>
      </c>
      <c r="DK13" s="39" t="str">
        <f>IF('Seznam zápasů'!H200="","",'Seznam zápasů'!H200)</f>
        <v/>
      </c>
      <c r="DL13" s="39" t="str">
        <f>IF('Seznam zápasů'!I200="","",'Seznam zápasů'!I200)</f>
        <v/>
      </c>
      <c r="DM13" s="39" t="str">
        <f ca="1">IF('Seznam zápasů'!J200="","",'Seznam zápasů'!J200)</f>
        <v>Nadcházející</v>
      </c>
      <c r="DN13" s="42">
        <f>IF('Seznam zápasů'!A235="","",'Seznam zápasů'!A235)</f>
        <v>46403</v>
      </c>
      <c r="DO13" s="39" t="str">
        <f>IF('Seznam zápasů'!B235="","",'Seznam zápasů'!B235)</f>
        <v>So</v>
      </c>
      <c r="DP13" s="39" t="str">
        <f>IF('Seznam zápasů'!D235="","",'Seznam zápasů'!D235)</f>
        <v>žákovská liga</v>
      </c>
      <c r="DQ13" s="39" t="str">
        <f>IF('Seznam zápasů'!E235="","",'Seznam zápasů'!E235)</f>
        <v>F1, S1</v>
      </c>
      <c r="DR13" s="45" t="str">
        <f>IF('Seznam zápasů'!F235="","",'Seznam zápasů'!F235)</f>
        <v/>
      </c>
      <c r="DS13" s="39" t="str">
        <f>IF('Seznam zápasů'!G235="","",'Seznam zápasů'!G235)</f>
        <v/>
      </c>
      <c r="DT13" s="39" t="str">
        <f>IF('Seznam zápasů'!H235="","",'Seznam zápasů'!H235)</f>
        <v/>
      </c>
      <c r="DU13" s="39" t="str">
        <f>IF('Seznam zápasů'!I235="","",'Seznam zápasů'!I235)</f>
        <v/>
      </c>
      <c r="DV13" s="39" t="str">
        <f ca="1">IF('Seznam zápasů'!J235="","",'Seznam zápasů'!J235)</f>
        <v>Nadcházející</v>
      </c>
      <c r="DW13" s="42">
        <f>IF('Seznam zápasů'!A279="","",'Seznam zápasů'!A279)</f>
        <v>46424</v>
      </c>
      <c r="DX13" s="39" t="str">
        <f>IF('Seznam zápasů'!B279="","",'Seznam zápasů'!B279)</f>
        <v>So</v>
      </c>
      <c r="DY13" s="39" t="str">
        <f>IF('Seznam zápasů'!D279="","",'Seznam zápasů'!D279)</f>
        <v>nadreg. liga</v>
      </c>
      <c r="DZ13" s="39" t="str">
        <f>IF('Seznam zápasů'!E279="","",'Seznam zápasů'!E279)</f>
        <v>BA Roudnice</v>
      </c>
      <c r="EA13" s="45" t="str">
        <f>IF('Seznam zápasů'!F279="","",'Seznam zápasů'!F279)</f>
        <v>038</v>
      </c>
      <c r="EB13" s="39" t="str">
        <f>IF('Seznam zápasů'!G279="","",'Seznam zápasů'!G279)</f>
        <v/>
      </c>
      <c r="EC13" s="39" t="str">
        <f>IF('Seznam zápasů'!H279="","",'Seznam zápasů'!H279)</f>
        <v/>
      </c>
      <c r="ED13" s="39" t="str">
        <f>IF('Seznam zápasů'!I279="","",'Seznam zápasů'!I279)</f>
        <v/>
      </c>
      <c r="EE13" s="39" t="str">
        <f ca="1">IF('Seznam zápasů'!J279="","",'Seznam zápasů'!J279)</f>
        <v>Nadcházející</v>
      </c>
      <c r="EF13" s="42">
        <f>IF('Seznam zápasů'!A254="","",'Seznam zápasů'!A254)</f>
        <v>46410</v>
      </c>
      <c r="EG13" s="39" t="str">
        <f>IF('Seznam zápasů'!B254="","",'Seznam zápasů'!B254)</f>
        <v>So</v>
      </c>
      <c r="EH13" s="39" t="str">
        <f>IF('Seznam zápasů'!D254="","",'Seznam zápasů'!D254)</f>
        <v>KP + kval. o NF</v>
      </c>
      <c r="EI13" s="39" t="str">
        <f>IF('Seznam zápasů'!E254="","",'Seznam zápasů'!E254)</f>
        <v>BK Mělník</v>
      </c>
      <c r="EJ13" s="45" t="str">
        <f>IF('Seznam zápasů'!F254="","",'Seznam zápasů'!F254)</f>
        <v>033</v>
      </c>
      <c r="EK13" s="39" t="str">
        <f>IF('Seznam zápasů'!G254="","",'Seznam zápasů'!G254)</f>
        <v/>
      </c>
      <c r="EL13" s="39" t="str">
        <f>IF('Seznam zápasů'!H254="","",'Seznam zápasů'!H254)</f>
        <v/>
      </c>
      <c r="EM13" s="39" t="str">
        <f>IF('Seznam zápasů'!I254="","",'Seznam zápasů'!I254)</f>
        <v/>
      </c>
      <c r="EN13" s="39" t="str">
        <f ca="1">IF('Seznam zápasů'!J254="","",'Seznam zápasů'!J254)</f>
        <v>Nadcházející</v>
      </c>
      <c r="EO13" s="43">
        <f>IF('Seznam zápasů'!A374="","",'Seznam zápasů'!A374)</f>
        <v>46480</v>
      </c>
      <c r="EP13" s="40" t="str">
        <f>IF('Seznam zápasů'!B374="","",'Seznam zápasů'!B374)</f>
        <v>So</v>
      </c>
      <c r="EQ13" s="40" t="str">
        <f>IF('Seznam zápasů'!D374="","",'Seznam zápasů'!D374)</f>
        <v>KP + kval. o NF</v>
      </c>
      <c r="ER13" s="40" t="str">
        <f>IF('Seznam zápasů'!E374="","",'Seznam zápasů'!E374)</f>
        <v>BN-Brandýs-Nymburk 007-009</v>
      </c>
      <c r="ES13" s="46" t="str">
        <f>IF('Seznam zápasů'!F374="","",'Seznam zápasů'!F374)</f>
        <v/>
      </c>
      <c r="ET13" s="40" t="str">
        <f>IF('Seznam zápasů'!G374="","",'Seznam zápasů'!G374)</f>
        <v/>
      </c>
      <c r="EU13" s="40" t="str">
        <f>IF('Seznam zápasů'!H374="","",'Seznam zápasů'!H374)</f>
        <v/>
      </c>
      <c r="EV13" s="40" t="str">
        <f>IF('Seznam zápasů'!I374="","",'Seznam zápasů'!I374)</f>
        <v/>
      </c>
      <c r="EW13" s="40" t="str">
        <f ca="1">IF('Seznam zápasů'!J374="","",'Seznam zápasů'!J374)</f>
        <v>Nadcházející</v>
      </c>
      <c r="EX13" s="42">
        <f>IF('Seznam zápasů'!A356="","",'Seznam zápasů'!A356)</f>
        <v>46466</v>
      </c>
      <c r="EY13" s="39" t="str">
        <f>IF('Seznam zápasů'!B356="","",'Seznam zápasů'!B356)</f>
        <v>So</v>
      </c>
      <c r="EZ13" s="39" t="str">
        <f>IF('Seznam zápasů'!D356="","",'Seznam zápasů'!D356)</f>
        <v>KP + kval. o NF</v>
      </c>
      <c r="FA13" s="39" t="str">
        <f>IF('Seznam zápasů'!E356="","",'Seznam zápasů'!E356)</f>
        <v>Brandýs-BN-Nymburk 007-009</v>
      </c>
      <c r="FB13" s="45" t="str">
        <f>IF('Seznam zápasů'!F356="","",'Seznam zápasů'!F356)</f>
        <v/>
      </c>
      <c r="FC13" s="39" t="str">
        <f>IF('Seznam zápasů'!G356="","",'Seznam zápasů'!G356)</f>
        <v/>
      </c>
      <c r="FD13" s="39" t="str">
        <f>IF('Seznam zápasů'!H356="","",'Seznam zápasů'!H356)</f>
        <v/>
      </c>
      <c r="FE13" s="39" t="str">
        <f>IF('Seznam zápasů'!I356="","",'Seznam zápasů'!I356)</f>
        <v/>
      </c>
      <c r="FF13" s="39" t="str">
        <f ca="1">IF('Seznam zápasů'!J356="","",'Seznam zápasů'!J356)</f>
        <v>Nadcházející</v>
      </c>
      <c r="FP13" s="42">
        <f>IF('Seznam zápasů'!A181="","",'Seznam zápasů'!A181)</f>
        <v>46361</v>
      </c>
      <c r="FQ13" s="39" t="str">
        <f>IF('Seznam zápasů'!B181="","",'Seznam zápasů'!B181)</f>
        <v>So</v>
      </c>
      <c r="FR13" s="39" t="str">
        <f>IF('Seznam zápasů'!D181="","",'Seznam zápasů'!D181)</f>
        <v>KP + kval. o NF</v>
      </c>
      <c r="FS13" s="39" t="str">
        <f>IF('Seznam zápasů'!E181="","",'Seznam zápasů'!E181)</f>
        <v>BK Pelhřimov</v>
      </c>
      <c r="FT13" s="45" t="str">
        <f>IF('Seznam zápasů'!F181="","",'Seznam zápasů'!F181)</f>
        <v>064</v>
      </c>
      <c r="FU13" s="39" t="str">
        <f>IF('Seznam zápasů'!G181="","",'Seznam zápasů'!G181)</f>
        <v/>
      </c>
      <c r="FV13" s="39" t="str">
        <f>IF('Seznam zápasů'!H181="","",'Seznam zápasů'!H181)</f>
        <v/>
      </c>
      <c r="FW13" s="39" t="str">
        <f>IF('Seznam zápasů'!I181="","",'Seznam zápasů'!I181)</f>
        <v/>
      </c>
      <c r="FX13" s="39" t="str">
        <f ca="1">IF('Seznam zápasů'!J181="","",'Seznam zápasů'!J181)</f>
        <v>Nadcházející</v>
      </c>
      <c r="FY13" s="42">
        <f>IF('Seznam zápasů'!A349="","",'Seznam zápasů'!A349)</f>
        <v>46460</v>
      </c>
      <c r="FZ13" s="39" t="str">
        <f>IF('Seznam zápasů'!B349="","",'Seznam zápasů'!B349)</f>
        <v>Ne</v>
      </c>
      <c r="GA13" s="39" t="str">
        <f>IF('Seznam zápasů'!D349="","",'Seznam zápasů'!D349)</f>
        <v>KP + kval. o NF</v>
      </c>
      <c r="GB13" s="39" t="str">
        <f>IF('Seznam zápasů'!E349="","",'Seznam zápasů'!E349)</f>
        <v>BC Slaný kval.</v>
      </c>
      <c r="GC13" s="45" t="str">
        <f>IF('Seznam zápasů'!F349="","",'Seznam zápasů'!F349)</f>
        <v>004</v>
      </c>
      <c r="GD13" s="39" t="str">
        <f>IF('Seznam zápasů'!G349="","",'Seznam zápasů'!G349)</f>
        <v/>
      </c>
      <c r="GE13" s="39" t="str">
        <f>IF('Seznam zápasů'!H349="","",'Seznam zápasů'!H349)</f>
        <v/>
      </c>
      <c r="GF13" s="39" t="str">
        <f>IF('Seznam zápasů'!I349="","",'Seznam zápasů'!I349)</f>
        <v/>
      </c>
      <c r="GG13" s="39" t="str">
        <f ca="1">IF('Seznam zápasů'!J349="","",'Seznam zápasů'!J349)</f>
        <v>Nadcházející</v>
      </c>
      <c r="GH13" s="42">
        <f>IF('Seznam zápasů'!A358="","",'Seznam zápasů'!A358)</f>
        <v>46466</v>
      </c>
      <c r="GI13" s="39" t="str">
        <f>IF('Seznam zápasů'!B358="","",'Seznam zápasů'!B358)</f>
        <v>So</v>
      </c>
      <c r="GJ13" s="39" t="str">
        <f>IF('Seznam zápasů'!D358="","",'Seznam zápasů'!D358)</f>
        <v>KP + kval. o NF</v>
      </c>
      <c r="GK13" s="39" t="str">
        <f>IF('Seznam zápasů'!E358="","",'Seznam zápasů'!E358)</f>
        <v>BC Slaný kval.</v>
      </c>
      <c r="GL13" s="45" t="str">
        <f>IF('Seznam zápasů'!F358="","",'Seznam zápasů'!F358)</f>
        <v>010</v>
      </c>
      <c r="GM13" s="39" t="str">
        <f>IF('Seznam zápasů'!G358="","",'Seznam zápasů'!G358)</f>
        <v/>
      </c>
      <c r="GN13" s="39" t="str">
        <f>IF('Seznam zápasů'!H358="","",'Seznam zápasů'!H358)</f>
        <v/>
      </c>
      <c r="GO13" s="39" t="str">
        <f>IF('Seznam zápasů'!I358="","",'Seznam zápasů'!I358)</f>
        <v/>
      </c>
      <c r="GP13" s="39" t="str">
        <f ca="1">IF('Seznam zápasů'!J358="","",'Seznam zápasů'!J358)</f>
        <v>Nadcházející</v>
      </c>
    </row>
    <row r="14" spans="1:216" x14ac:dyDescent="0.2">
      <c r="A14" s="42">
        <f>IF('Seznam zápasů'!A206="","",'Seznam zápasů'!A206)</f>
        <v>46369</v>
      </c>
      <c r="B14" s="39" t="str">
        <f>IF('Seznam zápasů'!B206="","",'Seznam zápasů'!B206)</f>
        <v>Ne</v>
      </c>
      <c r="C14" s="39" t="str">
        <f>IF('Seznam zápasů'!D206="","",'Seznam zápasů'!D206)</f>
        <v>SBLM</v>
      </c>
      <c r="D14" s="39" t="str">
        <f>IF('Seznam zápasů'!E206="","",'Seznam zápasů'!E206)</f>
        <v>BK Kralupy Junior</v>
      </c>
      <c r="E14" s="45" t="str">
        <f>IF('Seznam zápasů'!F206="","",'Seznam zápasů'!F206)</f>
        <v>076</v>
      </c>
      <c r="F14" s="39" t="str">
        <f>IF('Seznam zápasů'!G206="","",'Seznam zápasů'!G206)</f>
        <v/>
      </c>
      <c r="G14" s="39" t="str">
        <f>IF('Seznam zápasů'!H206="","",'Seznam zápasů'!H206)</f>
        <v/>
      </c>
      <c r="H14" s="39" t="str">
        <f>IF('Seznam zápasů'!I206="","",'Seznam zápasů'!I206)</f>
        <v/>
      </c>
      <c r="I14" s="39" t="str">
        <f ca="1">IF('Seznam zápasů'!J206="","",'Seznam zápasů'!J206)</f>
        <v>Nadcházející</v>
      </c>
      <c r="J14" s="42">
        <f>IF('Seznam zápasů'!A294="","",'Seznam zápasů'!A294)</f>
        <v>46431</v>
      </c>
      <c r="K14" s="39" t="str">
        <f>IF('Seznam zápasů'!B294="","",'Seznam zápasů'!B294)</f>
        <v>So</v>
      </c>
      <c r="L14" s="39" t="str">
        <f>IF('Seznam zápasů'!D294="","",'Seznam zápasů'!D294)</f>
        <v>KP</v>
      </c>
      <c r="M14" s="39" t="str">
        <f>IF('Seznam zápasů'!E294="","",'Seznam zápasů'!E294)</f>
        <v>TJ Sokol Nehvizdy</v>
      </c>
      <c r="N14" s="45" t="str">
        <f>IF('Seznam zápasů'!F294="","",'Seznam zápasů'!F294)</f>
        <v>051</v>
      </c>
      <c r="O14" s="39" t="str">
        <f>IF('Seznam zápasů'!G294="","",'Seznam zápasů'!G294)</f>
        <v/>
      </c>
      <c r="P14" s="39" t="str">
        <f>IF('Seznam zápasů'!H294="","",'Seznam zápasů'!H294)</f>
        <v/>
      </c>
      <c r="Q14" s="39" t="str">
        <f>IF('Seznam zápasů'!I294="","",'Seznam zápasů'!I294)</f>
        <v/>
      </c>
      <c r="R14" s="39" t="str">
        <f ca="1">IF('Seznam zápasů'!J294="","",'Seznam zápasů'!J294)</f>
        <v>Nadcházející</v>
      </c>
      <c r="S14" s="42">
        <f>IF('Seznam zápasů'!A210="","",'Seznam zápasů'!A210)</f>
        <v>46369</v>
      </c>
      <c r="T14" s="39" t="str">
        <f>IF('Seznam zápasů'!B210="","",'Seznam zápasů'!B210)</f>
        <v>Ne</v>
      </c>
      <c r="U14" s="39" t="str">
        <f>IF('Seznam zápasů'!D210="","",'Seznam zápasů'!D210)</f>
        <v>II. Liga</v>
      </c>
      <c r="V14" s="39" t="str">
        <f>IF('Seznam zápasů'!E210="","",'Seznam zápasů'!E210)</f>
        <v>BA Louny</v>
      </c>
      <c r="W14" s="45" t="str">
        <f>IF('Seznam zápasů'!F210="","",'Seznam zápasů'!F210)</f>
        <v>045</v>
      </c>
      <c r="X14" s="39" t="str">
        <f>IF('Seznam zápasů'!G210="","",'Seznam zápasů'!G210)</f>
        <v/>
      </c>
      <c r="Y14" s="39" t="str">
        <f>IF('Seznam zápasů'!H210="","",'Seznam zápasů'!H210)</f>
        <v/>
      </c>
      <c r="Z14" s="39" t="str">
        <f>IF('Seznam zápasů'!I210="","",'Seznam zápasů'!I210)</f>
        <v/>
      </c>
      <c r="AA14" s="39" t="str">
        <f ca="1">IF('Seznam zápasů'!J210="","",'Seznam zápasů'!J210)</f>
        <v>Nadcházející</v>
      </c>
      <c r="AB14" s="42">
        <f>IF('Seznam zápasů'!A280="","",'Seznam zápasů'!A280)</f>
        <v>46424</v>
      </c>
      <c r="AC14" s="39" t="str">
        <f>IF('Seznam zápasů'!B280="","",'Seznam zápasů'!B280)</f>
        <v>So</v>
      </c>
      <c r="AD14" s="39" t="str">
        <f>IF('Seznam zápasů'!D280="","",'Seznam zápasů'!D280)</f>
        <v>SBLŽ</v>
      </c>
      <c r="AE14" s="39" t="str">
        <f>IF('Seznam zápasů'!E280="","",'Seznam zápasů'!E280)</f>
        <v>Slavoj Český Brod</v>
      </c>
      <c r="AF14" s="45" t="str">
        <f>IF('Seznam zápasů'!F280="","",'Seznam zápasů'!F280)</f>
        <v>053</v>
      </c>
      <c r="AG14" s="39" t="str">
        <f>IF('Seznam zápasů'!G280="","",'Seznam zápasů'!G280)</f>
        <v/>
      </c>
      <c r="AH14" s="39" t="str">
        <f>IF('Seznam zápasů'!H280="","",'Seznam zápasů'!H280)</f>
        <v/>
      </c>
      <c r="AI14" s="39" t="str">
        <f>IF('Seznam zápasů'!I280="","",'Seznam zápasů'!I280)</f>
        <v/>
      </c>
      <c r="AJ14" s="39" t="str">
        <f ca="1">IF('Seznam zápasů'!J280="","",'Seznam zápasů'!J280)</f>
        <v>Nadcházející</v>
      </c>
      <c r="AK14" s="42">
        <f>IF('Seznam zápasů'!A281="","",'Seznam zápasů'!A281)</f>
        <v>46424</v>
      </c>
      <c r="AL14" s="39" t="str">
        <f>IF('Seznam zápasů'!B281="","",'Seznam zápasů'!B281)</f>
        <v>So</v>
      </c>
      <c r="AM14" s="39" t="str">
        <f>IF('Seznam zápasů'!D281="","",'Seznam zápasů'!D281)</f>
        <v>SBLŽ</v>
      </c>
      <c r="AN14" s="39" t="str">
        <f>IF('Seznam zápasů'!E281="","",'Seznam zápasů'!E281)</f>
        <v>BK Brandýs B</v>
      </c>
      <c r="AO14" s="45" t="str">
        <f>IF('Seznam zápasů'!F281="","",'Seznam zápasů'!F281)</f>
        <v>052</v>
      </c>
      <c r="AP14" s="39" t="str">
        <f>IF('Seznam zápasů'!G281="","",'Seznam zápasů'!G281)</f>
        <v/>
      </c>
      <c r="AQ14" s="39" t="str">
        <f>IF('Seznam zápasů'!H281="","",'Seznam zápasů'!H281)</f>
        <v/>
      </c>
      <c r="AR14" s="39" t="str">
        <f>IF('Seznam zápasů'!I281="","",'Seznam zápasů'!I281)</f>
        <v/>
      </c>
      <c r="AS14" s="39" t="str">
        <f ca="1">IF('Seznam zápasů'!J281="","",'Seznam zápasů'!J281)</f>
        <v>Nadcházející</v>
      </c>
      <c r="AT14" s="42">
        <f>IF('Seznam zápasů'!A219="","",'Seznam zápasů'!A219)</f>
        <v>46397</v>
      </c>
      <c r="AU14" s="39" t="str">
        <f>IF('Seznam zápasů'!B219="","",'Seznam zápasů'!B219)</f>
        <v>Ne</v>
      </c>
      <c r="AV14" s="39" t="str">
        <f>IF('Seznam zápasů'!D219="","",'Seznam zápasů'!D219)</f>
        <v>NRL</v>
      </c>
      <c r="AW14" s="39" t="str">
        <f>IF('Seznam zápasů'!E219="","",'Seznam zápasů'!E219)</f>
        <v>BK Sojky Pelhřimov C</v>
      </c>
      <c r="AX14" s="45" t="str">
        <f>IF('Seznam zápasů'!F219="","",'Seznam zápasů'!F219)</f>
        <v>19271</v>
      </c>
      <c r="AY14" s="39" t="str">
        <f>IF('Seznam zápasů'!G219="","",'Seznam zápasů'!G219)</f>
        <v/>
      </c>
      <c r="AZ14" s="39" t="str">
        <f>IF('Seznam zápasů'!H219="","",'Seznam zápasů'!H219)</f>
        <v/>
      </c>
      <c r="BA14" s="39" t="str">
        <f>IF('Seznam zápasů'!I219="","",'Seznam zápasů'!I219)</f>
        <v/>
      </c>
      <c r="BB14" s="39" t="str">
        <f ca="1">IF('Seznam zápasů'!J219="","",'Seznam zápasů'!J219)</f>
        <v>Nadcházející</v>
      </c>
      <c r="BC14" s="42">
        <f>IF('Seznam zápasů'!A203="","",'Seznam zápasů'!A203)</f>
        <v>46369</v>
      </c>
      <c r="BD14" s="39" t="str">
        <f>IF('Seznam zápasů'!B203="","",'Seznam zápasů'!B203)</f>
        <v>Ne</v>
      </c>
      <c r="BE14" s="39" t="str">
        <f>IF('Seznam zápasů'!D203="","",'Seznam zápasů'!D203)</f>
        <v>nadreg. liga</v>
      </c>
      <c r="BF14" s="39" t="str">
        <f>IF('Seznam zápasů'!E203="","",'Seznam zápasů'!E203)</f>
        <v>Sokol Pečky</v>
      </c>
      <c r="BG14" s="45" t="str">
        <f>IF('Seznam zápasů'!F203="","",'Seznam zápasů'!F203)</f>
        <v>17181</v>
      </c>
      <c r="BH14" s="39" t="str">
        <f>IF('Seznam zápasů'!G203="","",'Seznam zápasů'!G203)</f>
        <v/>
      </c>
      <c r="BI14" s="39" t="str">
        <f>IF('Seznam zápasů'!H203="","",'Seznam zápasů'!H203)</f>
        <v/>
      </c>
      <c r="BJ14" s="39" t="str">
        <f>IF('Seznam zápasů'!I203="","",'Seznam zápasů'!I203)</f>
        <v/>
      </c>
      <c r="BK14" s="39" t="str">
        <f ca="1">IF('Seznam zápasů'!J203="","",'Seznam zápasů'!J203)</f>
        <v>Nadcházející</v>
      </c>
      <c r="BL14" s="42">
        <f>IF('Seznam zápasů'!A204="","",'Seznam zápasů'!A204)</f>
        <v>46369</v>
      </c>
      <c r="BM14" s="39" t="str">
        <f>IF('Seznam zápasů'!B204="","",'Seznam zápasů'!B204)</f>
        <v>Ne</v>
      </c>
      <c r="BN14" s="39" t="str">
        <f>IF('Seznam zápasů'!D204="","",'Seznam zápasů'!D204)</f>
        <v>celostátní liga</v>
      </c>
      <c r="BO14" s="39" t="str">
        <f>IF('Seznam zápasů'!E204="","",'Seznam zápasů'!E204)</f>
        <v>HB Basket Praha B</v>
      </c>
      <c r="BP14" s="45" t="str">
        <f>IF('Seznam zápasů'!F204="","",'Seznam zápasů'!F204)</f>
        <v>104</v>
      </c>
      <c r="BQ14" s="39" t="str">
        <f>IF('Seznam zápasů'!G204="","",'Seznam zápasů'!G204)</f>
        <v/>
      </c>
      <c r="BR14" s="39" t="str">
        <f>IF('Seznam zápasů'!H204="","",'Seznam zápasů'!H204)</f>
        <v/>
      </c>
      <c r="BS14" s="39" t="str">
        <f>IF('Seznam zápasů'!I204="","",'Seznam zápasů'!I204)</f>
        <v/>
      </c>
      <c r="BT14" s="39" t="str">
        <f ca="1">IF('Seznam zápasů'!J204="","",'Seznam zápasů'!J204)</f>
        <v>Nadcházející</v>
      </c>
      <c r="BU14" s="42">
        <f>IF('Seznam zápasů'!A205="","",'Seznam zápasů'!A205)</f>
        <v>46369</v>
      </c>
      <c r="BV14" s="39" t="str">
        <f>IF('Seznam zápasů'!B205="","",'Seznam zápasů'!B205)</f>
        <v>Ne</v>
      </c>
      <c r="BW14" s="39" t="str">
        <f>IF('Seznam zápasů'!D205="","",'Seznam zápasů'!D205)</f>
        <v>nadreg. liga</v>
      </c>
      <c r="BX14" s="39" t="str">
        <f>IF('Seznam zápasů'!E205="","",'Seznam zápasů'!E205)</f>
        <v>Radotínský SK</v>
      </c>
      <c r="BY14" s="45" t="str">
        <f>IF('Seznam zápasů'!F205="","",'Seznam zápasů'!F205)</f>
        <v>17598</v>
      </c>
      <c r="BZ14" s="39" t="str">
        <f>IF('Seznam zápasů'!G205="","",'Seznam zápasů'!G205)</f>
        <v/>
      </c>
      <c r="CA14" s="39" t="str">
        <f>IF('Seznam zápasů'!H205="","",'Seznam zápasů'!H205)</f>
        <v/>
      </c>
      <c r="CB14" s="39" t="str">
        <f>IF('Seznam zápasů'!I205="","",'Seznam zápasů'!I205)</f>
        <v/>
      </c>
      <c r="CC14" s="39" t="str">
        <f ca="1">IF('Seznam zápasů'!J205="","",'Seznam zápasů'!J205)</f>
        <v>Nadcházející</v>
      </c>
      <c r="CD14" s="42">
        <f>IF('Seznam zápasů'!A224="","",'Seznam zápasů'!A224)</f>
        <v>46397</v>
      </c>
      <c r="CE14" s="39" t="str">
        <f>IF('Seznam zápasů'!B224="","",'Seznam zápasů'!B224)</f>
        <v>Ne</v>
      </c>
      <c r="CF14" s="39" t="str">
        <f>IF('Seznam zápasů'!D224="","",'Seznam zápasů'!D224)</f>
        <v>žákovská liga</v>
      </c>
      <c r="CG14" s="39" t="str">
        <f>IF('Seznam zápasů'!E224="","",'Seznam zápasů'!E224)</f>
        <v>Jižní Supi</v>
      </c>
      <c r="CH14" s="45" t="str">
        <f>IF('Seznam zápasů'!F224="","",'Seznam zápasů'!F224)</f>
        <v>047</v>
      </c>
      <c r="CI14" s="39" t="str">
        <f>IF('Seznam zápasů'!G224="","",'Seznam zápasů'!G224)</f>
        <v/>
      </c>
      <c r="CJ14" s="39" t="str">
        <f>IF('Seznam zápasů'!H224="","",'Seznam zápasů'!H224)</f>
        <v/>
      </c>
      <c r="CK14" s="39" t="str">
        <f>IF('Seznam zápasů'!I224="","",'Seznam zápasů'!I224)</f>
        <v/>
      </c>
      <c r="CL14" s="39" t="str">
        <f ca="1">IF('Seznam zápasů'!J224="","",'Seznam zápasů'!J224)</f>
        <v>Nadcházející</v>
      </c>
      <c r="CM14" s="42">
        <f>IF('Seznam zápasů'!A225="","",'Seznam zápasů'!A225)</f>
        <v>46397</v>
      </c>
      <c r="CN14" s="39" t="str">
        <f>IF('Seznam zápasů'!B225="","",'Seznam zápasů'!B225)</f>
        <v>Ne</v>
      </c>
      <c r="CO14" s="39" t="str">
        <f>IF('Seznam zápasů'!D225="","",'Seznam zápasů'!D225)</f>
        <v>žákovská liga</v>
      </c>
      <c r="CP14" s="39" t="str">
        <f>IF('Seznam zápasů'!E225="","",'Seznam zápasů'!E225)</f>
        <v>Tigers České Budějovice</v>
      </c>
      <c r="CQ14" s="45" t="str">
        <f>IF('Seznam zápasů'!F225="","",'Seznam zápasů'!F225)</f>
        <v>048</v>
      </c>
      <c r="CR14" s="39" t="str">
        <f>IF('Seznam zápasů'!G225="","",'Seznam zápasů'!G225)</f>
        <v/>
      </c>
      <c r="CS14" s="39" t="str">
        <f>IF('Seznam zápasů'!H225="","",'Seznam zápasů'!H225)</f>
        <v/>
      </c>
      <c r="CT14" s="39" t="str">
        <f>IF('Seznam zápasů'!I225="","",'Seznam zápasů'!I225)</f>
        <v/>
      </c>
      <c r="CU14" s="39" t="str">
        <f ca="1">IF('Seznam zápasů'!J225="","",'Seznam zápasů'!J225)</f>
        <v>Nadcházející</v>
      </c>
      <c r="CV14" s="42">
        <f>IF('Seznam zápasů'!A260="","",'Seznam zápasů'!A260)</f>
        <v>46410</v>
      </c>
      <c r="CW14" s="39" t="str">
        <f>IF('Seznam zápasů'!B260="","",'Seznam zápasů'!B260)</f>
        <v>So</v>
      </c>
      <c r="CX14" s="39" t="str">
        <f>IF('Seznam zápasů'!D260="","",'Seznam zápasů'!D260)</f>
        <v>nadreg. Liga</v>
      </c>
      <c r="CY14" s="39" t="str">
        <f>IF('Seznam zápasů'!E260="","",'Seznam zápasů'!E260)</f>
        <v>Basketbal Újezd nad Lesy</v>
      </c>
      <c r="CZ14" s="45" t="str">
        <f>IF('Seznam zápasů'!F260="","",'Seznam zápasů'!F260)</f>
        <v>088</v>
      </c>
      <c r="DA14" s="39" t="str">
        <f>IF('Seznam zápasů'!G260="","",'Seznam zápasů'!G260)</f>
        <v/>
      </c>
      <c r="DB14" s="39" t="str">
        <f>IF('Seznam zápasů'!H260="","",'Seznam zápasů'!H260)</f>
        <v/>
      </c>
      <c r="DC14" s="39" t="str">
        <f>IF('Seznam zápasů'!I260="","",'Seznam zápasů'!I260)</f>
        <v/>
      </c>
      <c r="DD14" s="39" t="str">
        <f ca="1">IF('Seznam zápasů'!J260="","",'Seznam zápasů'!J260)</f>
        <v>Nadcházející</v>
      </c>
      <c r="DE14" s="42">
        <f>IF('Seznam zápasů'!A207="","",'Seznam zápasů'!A207)</f>
        <v>46369</v>
      </c>
      <c r="DF14" s="39" t="str">
        <f>IF('Seznam zápasů'!B207="","",'Seznam zápasů'!B207)</f>
        <v>Ne</v>
      </c>
      <c r="DG14" s="39" t="str">
        <f>IF('Seznam zápasů'!D207="","",'Seznam zápasů'!D207)</f>
        <v>žákovská liga</v>
      </c>
      <c r="DH14" s="39" t="str">
        <f>IF('Seznam zápasů'!E207="","",'Seznam zápasů'!E207)</f>
        <v>Slavia Tygři Praha B</v>
      </c>
      <c r="DI14" s="45" t="str">
        <f>IF('Seznam zápasů'!F207="","",'Seznam zápasů'!F207)</f>
        <v>126</v>
      </c>
      <c r="DJ14" s="39" t="str">
        <f>IF('Seznam zápasů'!G207="","",'Seznam zápasů'!G207)</f>
        <v/>
      </c>
      <c r="DK14" s="39" t="str">
        <f>IF('Seznam zápasů'!H207="","",'Seznam zápasů'!H207)</f>
        <v/>
      </c>
      <c r="DL14" s="39" t="str">
        <f>IF('Seznam zápasů'!I207="","",'Seznam zápasů'!I207)</f>
        <v/>
      </c>
      <c r="DM14" s="39" t="str">
        <f ca="1">IF('Seznam zápasů'!J207="","",'Seznam zápasů'!J207)</f>
        <v>Nadcházející</v>
      </c>
      <c r="DN14" s="42">
        <f>IF('Seznam zápasů'!A246="","",'Seznam zápasů'!A246)</f>
        <v>46404</v>
      </c>
      <c r="DO14" s="39" t="str">
        <f>IF('Seznam zápasů'!B246="","",'Seznam zápasů'!B246)</f>
        <v>Ne</v>
      </c>
      <c r="DP14" s="39" t="str">
        <f>IF('Seznam zápasů'!D246="","",'Seznam zápasů'!D246)</f>
        <v>žákovská liga</v>
      </c>
      <c r="DQ14" s="39" t="str">
        <f>IF('Seznam zápasů'!E246="","",'Seznam zápasů'!E246)</f>
        <v>F1, S1</v>
      </c>
      <c r="DR14" s="45" t="str">
        <f>IF('Seznam zápasů'!F246="","",'Seznam zápasů'!F246)</f>
        <v/>
      </c>
      <c r="DS14" s="39" t="str">
        <f>IF('Seznam zápasů'!G246="","",'Seznam zápasů'!G246)</f>
        <v/>
      </c>
      <c r="DT14" s="39" t="str">
        <f>IF('Seznam zápasů'!H246="","",'Seznam zápasů'!H246)</f>
        <v/>
      </c>
      <c r="DU14" s="39" t="str">
        <f>IF('Seznam zápasů'!I246="","",'Seznam zápasů'!I246)</f>
        <v/>
      </c>
      <c r="DV14" s="39" t="str">
        <f ca="1">IF('Seznam zápasů'!J246="","",'Seznam zápasů'!J246)</f>
        <v>Nadcházející</v>
      </c>
      <c r="DW14" s="43">
        <f>IF('Seznam zápasů'!A288="","",'Seznam zápasů'!A288)</f>
        <v>46425</v>
      </c>
      <c r="DX14" s="40" t="str">
        <f>IF('Seznam zápasů'!B288="","",'Seznam zápasů'!B288)</f>
        <v>Ne</v>
      </c>
      <c r="DY14" s="40" t="str">
        <f>IF('Seznam zápasů'!D288="","",'Seznam zápasů'!D288)</f>
        <v>nadreg. liga</v>
      </c>
      <c r="DZ14" s="40" t="str">
        <f>IF('Seznam zápasů'!E288="","",'Seznam zápasů'!E288)</f>
        <v>Kralupy Junior</v>
      </c>
      <c r="EA14" s="46" t="str">
        <f>IF('Seznam zápasů'!F288="","",'Seznam zápasů'!F288)</f>
        <v>040</v>
      </c>
      <c r="EB14" s="40" t="str">
        <f>IF('Seznam zápasů'!G288="","",'Seznam zápasů'!G288)</f>
        <v/>
      </c>
      <c r="EC14" s="40" t="str">
        <f>IF('Seznam zápasů'!H288="","",'Seznam zápasů'!H288)</f>
        <v/>
      </c>
      <c r="ED14" s="40" t="str">
        <f>IF('Seznam zápasů'!I288="","",'Seznam zápasů'!I288)</f>
        <v/>
      </c>
      <c r="EE14" s="40" t="str">
        <f ca="1">IF('Seznam zápasů'!J288="","",'Seznam zápasů'!J288)</f>
        <v>Nadcházející</v>
      </c>
      <c r="EF14" s="42">
        <f>IF('Seznam zápasů'!A292="","",'Seznam zápasů'!A292)</f>
        <v>46431</v>
      </c>
      <c r="EG14" s="39" t="str">
        <f>IF('Seznam zápasů'!B292="","",'Seznam zápasů'!B292)</f>
        <v>So</v>
      </c>
      <c r="EH14" s="39" t="str">
        <f>IF('Seznam zápasů'!D292="","",'Seznam zápasů'!D292)</f>
        <v>KP + kval. o NF</v>
      </c>
      <c r="EI14" s="39" t="str">
        <f>IF('Seznam zápasů'!E292="","",'Seznam zápasů'!E292)</f>
        <v>Basketbal Újezd nad Lesy</v>
      </c>
      <c r="EJ14" s="45" t="str">
        <f>IF('Seznam zápasů'!F292="","",'Seznam zápasů'!F292)</f>
        <v>041</v>
      </c>
      <c r="EK14" s="39" t="str">
        <f>IF('Seznam zápasů'!G292="","",'Seznam zápasů'!G292)</f>
        <v/>
      </c>
      <c r="EL14" s="39" t="str">
        <f>IF('Seznam zápasů'!H292="","",'Seznam zápasů'!H292)</f>
        <v/>
      </c>
      <c r="EM14" s="39" t="str">
        <f>IF('Seznam zápasů'!I292="","",'Seznam zápasů'!I292)</f>
        <v/>
      </c>
      <c r="EN14" s="39" t="str">
        <f ca="1">IF('Seznam zápasů'!J292="","",'Seznam zápasů'!J292)</f>
        <v>Nadcházející</v>
      </c>
      <c r="EX14" s="43">
        <f>IF('Seznam zápasů'!A390="","",'Seznam zápasů'!A390)</f>
        <v>46487</v>
      </c>
      <c r="EY14" s="40" t="str">
        <f>IF('Seznam zápasů'!B390="","",'Seznam zápasů'!B390)</f>
        <v>So</v>
      </c>
      <c r="EZ14" s="40" t="str">
        <f>IF('Seznam zápasů'!D390="","",'Seznam zápasů'!D390)</f>
        <v>KP + kval. o NF</v>
      </c>
      <c r="FA14" s="40" t="str">
        <f>IF('Seznam zápasů'!E390="","",'Seznam zápasů'!E390)</f>
        <v>TJ Sokol Pečky</v>
      </c>
      <c r="FB14" s="46" t="str">
        <f>IF('Seznam zápasů'!F390="","",'Seznam zápasů'!F390)</f>
        <v>2x 043, 088</v>
      </c>
      <c r="FC14" s="40" t="str">
        <f>IF('Seznam zápasů'!G390="","",'Seznam zápasů'!G390)</f>
        <v/>
      </c>
      <c r="FD14" s="40" t="str">
        <f>IF('Seznam zápasů'!H390="","",'Seznam zápasů'!H390)</f>
        <v/>
      </c>
      <c r="FE14" s="40" t="str">
        <f>IF('Seznam zápasů'!I390="","",'Seznam zápasů'!I390)</f>
        <v/>
      </c>
      <c r="FF14" s="40" t="str">
        <f ca="1">IF('Seznam zápasů'!J390="","",'Seznam zápasů'!J390)</f>
        <v>Nadcházející</v>
      </c>
      <c r="FP14" s="42">
        <f>IF('Seznam zápasů'!A188="","",'Seznam zápasů'!A188)</f>
        <v>46362</v>
      </c>
      <c r="FQ14" s="39" t="str">
        <f>IF('Seznam zápasů'!B188="","",'Seznam zápasů'!B188)</f>
        <v>Ne</v>
      </c>
      <c r="FR14" s="39" t="str">
        <f>IF('Seznam zápasů'!D188="","",'Seznam zápasů'!D188)</f>
        <v>KP + kval. o NF</v>
      </c>
      <c r="FS14" s="39" t="str">
        <f>IF('Seznam zápasů'!E188="","",'Seznam zápasů'!E188)</f>
        <v>BK Pelhřimov</v>
      </c>
      <c r="FT14" s="45" t="str">
        <f>IF('Seznam zápasů'!F188="","",'Seznam zápasů'!F188)</f>
        <v>070</v>
      </c>
      <c r="FU14" s="39" t="str">
        <f>IF('Seznam zápasů'!G188="","",'Seznam zápasů'!G188)</f>
        <v/>
      </c>
      <c r="FV14" s="39" t="str">
        <f>IF('Seznam zápasů'!H188="","",'Seznam zápasů'!H188)</f>
        <v/>
      </c>
      <c r="FW14" s="39" t="str">
        <f>IF('Seznam zápasů'!I188="","",'Seznam zápasů'!I188)</f>
        <v/>
      </c>
      <c r="FX14" s="39" t="str">
        <f ca="1">IF('Seznam zápasů'!J188="","",'Seznam zápasů'!J188)</f>
        <v>Nadcházející</v>
      </c>
      <c r="FY14" s="42">
        <f>IF('Seznam zápasů'!A376="","",'Seznam zápasů'!A376)</f>
        <v>46480</v>
      </c>
      <c r="FZ14" s="39" t="str">
        <f>IF('Seznam zápasů'!B376="","",'Seznam zápasů'!B376)</f>
        <v>So</v>
      </c>
      <c r="GA14" s="39" t="str">
        <f>IF('Seznam zápasů'!D376="","",'Seznam zápasů'!D376)</f>
        <v>KP + kval. o NF</v>
      </c>
      <c r="GB14" s="39" t="str">
        <f>IF('Seznam zápasů'!E376="","",'Seznam zápasů'!E376)</f>
        <v>BC Slaný kval.</v>
      </c>
      <c r="GC14" s="45" t="str">
        <f>IF('Seznam zápasů'!F376="","",'Seznam zápasů'!F376)</f>
        <v>005</v>
      </c>
      <c r="GD14" s="39" t="str">
        <f>IF('Seznam zápasů'!G376="","",'Seznam zápasů'!G376)</f>
        <v/>
      </c>
      <c r="GE14" s="39" t="str">
        <f>IF('Seznam zápasů'!H376="","",'Seznam zápasů'!H376)</f>
        <v/>
      </c>
      <c r="GF14" s="39" t="str">
        <f>IF('Seznam zápasů'!I376="","",'Seznam zápasů'!I376)</f>
        <v/>
      </c>
      <c r="GG14" s="39" t="str">
        <f ca="1">IF('Seznam zápasů'!J376="","",'Seznam zápasů'!J376)</f>
        <v>Nadcházející</v>
      </c>
      <c r="GH14" s="42">
        <f>IF('Seznam zápasů'!A363="","",'Seznam zápasů'!A363)</f>
        <v>46467</v>
      </c>
      <c r="GI14" s="39" t="str">
        <f>IF('Seznam zápasů'!B363="","",'Seznam zápasů'!B363)</f>
        <v>Ne</v>
      </c>
      <c r="GJ14" s="39" t="str">
        <f>IF('Seznam zápasů'!D363="","",'Seznam zápasů'!D363)</f>
        <v>KP + kval. o NF</v>
      </c>
      <c r="GK14" s="39" t="str">
        <f>IF('Seznam zápasů'!E363="","",'Seznam zápasů'!E363)</f>
        <v>BK Brandýs nad Labem kval.</v>
      </c>
      <c r="GL14" s="45" t="str">
        <f>IF('Seznam zápasů'!F363="","",'Seznam zápasů'!F363)</f>
        <v>011</v>
      </c>
      <c r="GM14" s="39" t="str">
        <f>IF('Seznam zápasů'!G363="","",'Seznam zápasů'!G363)</f>
        <v/>
      </c>
      <c r="GN14" s="39" t="str">
        <f>IF('Seznam zápasů'!H363="","",'Seznam zápasů'!H363)</f>
        <v/>
      </c>
      <c r="GO14" s="39" t="str">
        <f>IF('Seznam zápasů'!I363="","",'Seznam zápasů'!I363)</f>
        <v/>
      </c>
      <c r="GP14" s="39" t="str">
        <f ca="1">IF('Seznam zápasů'!J363="","",'Seznam zápasů'!J363)</f>
        <v>Nadcházející</v>
      </c>
    </row>
    <row r="15" spans="1:216" x14ac:dyDescent="0.2">
      <c r="A15" s="42">
        <f>IF('Seznam zápasů'!A233="","",'Seznam zápasů'!A233)</f>
        <v>46403</v>
      </c>
      <c r="B15" s="39" t="str">
        <f>IF('Seznam zápasů'!B233="","",'Seznam zápasů'!B233)</f>
        <v>So</v>
      </c>
      <c r="C15" s="39" t="str">
        <f>IF('Seznam zápasů'!D233="","",'Seznam zápasů'!D233)</f>
        <v>SBLM</v>
      </c>
      <c r="D15" s="39" t="str">
        <f>IF('Seznam zápasů'!E233="","",'Seznam zápasů'!E233)</f>
        <v>BC Kolín</v>
      </c>
      <c r="E15" s="45" t="str">
        <f>IF('Seznam zápasů'!F233="","",'Seznam zápasů'!F233)</f>
        <v>082</v>
      </c>
      <c r="F15" s="39" t="str">
        <f>IF('Seznam zápasů'!G233="","",'Seznam zápasů'!G233)</f>
        <v/>
      </c>
      <c r="G15" s="39" t="str">
        <f>IF('Seznam zápasů'!H233="","",'Seznam zápasů'!H233)</f>
        <v/>
      </c>
      <c r="H15" s="39" t="str">
        <f>IF('Seznam zápasů'!I233="","",'Seznam zápasů'!I233)</f>
        <v/>
      </c>
      <c r="I15" s="39" t="str">
        <f ca="1">IF('Seznam zápasů'!J233="","",'Seznam zápasů'!J233)</f>
        <v>Nadcházející</v>
      </c>
      <c r="J15" s="42">
        <f>IF('Seznam zápasů'!A298="","",'Seznam zápasů'!A298)</f>
        <v>46432</v>
      </c>
      <c r="K15" s="39" t="str">
        <f>IF('Seznam zápasů'!B298="","",'Seznam zápasů'!B298)</f>
        <v>Ne</v>
      </c>
      <c r="L15" s="39" t="str">
        <f>IF('Seznam zápasů'!D298="","",'Seznam zápasů'!D298)</f>
        <v>KP</v>
      </c>
      <c r="M15" s="39" t="str">
        <f>IF('Seznam zápasů'!E298="","",'Seznam zápasů'!E298)</f>
        <v>BK Sadská</v>
      </c>
      <c r="N15" s="45" t="str">
        <f>IF('Seznam zápasů'!F298="","",'Seznam zápasů'!F298)</f>
        <v>055</v>
      </c>
      <c r="O15" s="39" t="str">
        <f>IF('Seznam zápasů'!G298="","",'Seznam zápasů'!G298)</f>
        <v/>
      </c>
      <c r="P15" s="39" t="str">
        <f>IF('Seznam zápasů'!H298="","",'Seznam zápasů'!H298)</f>
        <v/>
      </c>
      <c r="Q15" s="39" t="str">
        <f>IF('Seznam zápasů'!I298="","",'Seznam zápasů'!I298)</f>
        <v/>
      </c>
      <c r="R15" s="39" t="str">
        <f ca="1">IF('Seznam zápasů'!J298="","",'Seznam zápasů'!J298)</f>
        <v>Nadcházející</v>
      </c>
      <c r="S15" s="42">
        <f>IF('Seznam zápasů'!A237="","",'Seznam zápasů'!A237)</f>
        <v>46403</v>
      </c>
      <c r="T15" s="39" t="str">
        <f>IF('Seznam zápasů'!B237="","",'Seznam zápasů'!B237)</f>
        <v>So</v>
      </c>
      <c r="U15" s="39" t="str">
        <f>IF('Seznam zápasů'!D237="","",'Seznam zápasů'!D237)</f>
        <v>II. Liga</v>
      </c>
      <c r="V15" s="39" t="str">
        <f>IF('Seznam zápasů'!E237="","",'Seznam zápasů'!E237)</f>
        <v>Lokomotiva Karlovy Vary</v>
      </c>
      <c r="W15" s="45" t="str">
        <f>IF('Seznam zápasů'!F237="","",'Seznam zápasů'!F237)</f>
        <v>049</v>
      </c>
      <c r="X15" s="39" t="str">
        <f>IF('Seznam zápasů'!G237="","",'Seznam zápasů'!G237)</f>
        <v/>
      </c>
      <c r="Y15" s="39" t="str">
        <f>IF('Seznam zápasů'!H237="","",'Seznam zápasů'!H237)</f>
        <v/>
      </c>
      <c r="Z15" s="39" t="str">
        <f>IF('Seznam zápasů'!I237="","",'Seznam zápasů'!I237)</f>
        <v/>
      </c>
      <c r="AA15" s="39" t="str">
        <f ca="1">IF('Seznam zápasů'!J237="","",'Seznam zápasů'!J237)</f>
        <v>Nadcházející</v>
      </c>
      <c r="AB15" s="42">
        <f>IF('Seznam zápasů'!A289="","",'Seznam zápasů'!A289)</f>
        <v>46425</v>
      </c>
      <c r="AC15" s="39" t="str">
        <f>IF('Seznam zápasů'!B289="","",'Seznam zápasů'!B289)</f>
        <v>Ne</v>
      </c>
      <c r="AD15" s="39" t="str">
        <f>IF('Seznam zápasů'!D289="","",'Seznam zápasů'!D289)</f>
        <v>SBLŽ</v>
      </c>
      <c r="AE15" s="39" t="str">
        <f>IF('Seznam zápasů'!E289="","",'Seznam zápasů'!E289)</f>
        <v>BK Brandýs B</v>
      </c>
      <c r="AF15" s="45" t="str">
        <f>IF('Seznam zápasů'!F289="","",'Seznam zápasů'!F289)</f>
        <v>056</v>
      </c>
      <c r="AG15" s="39" t="str">
        <f>IF('Seznam zápasů'!G289="","",'Seznam zápasů'!G289)</f>
        <v/>
      </c>
      <c r="AH15" s="39" t="str">
        <f>IF('Seznam zápasů'!H289="","",'Seznam zápasů'!H289)</f>
        <v/>
      </c>
      <c r="AI15" s="39" t="str">
        <f>IF('Seznam zápasů'!I289="","",'Seznam zápasů'!I289)</f>
        <v/>
      </c>
      <c r="AJ15" s="39" t="str">
        <f ca="1">IF('Seznam zápasů'!J289="","",'Seznam zápasů'!J289)</f>
        <v>Nadcházející</v>
      </c>
      <c r="AK15" s="42">
        <f>IF('Seznam zápasů'!A290="","",'Seznam zápasů'!A290)</f>
        <v>46425</v>
      </c>
      <c r="AL15" s="39" t="str">
        <f>IF('Seznam zápasů'!B290="","",'Seznam zápasů'!B290)</f>
        <v>Ne</v>
      </c>
      <c r="AM15" s="39" t="str">
        <f>IF('Seznam zápasů'!D290="","",'Seznam zápasů'!D290)</f>
        <v>SBLŽ</v>
      </c>
      <c r="AN15" s="39" t="str">
        <f>IF('Seznam zápasů'!E290="","",'Seznam zápasů'!E290)</f>
        <v>Slavoj Český Brod</v>
      </c>
      <c r="AO15" s="45" t="str">
        <f>IF('Seznam zápasů'!F290="","",'Seznam zápasů'!F290)</f>
        <v>057</v>
      </c>
      <c r="AP15" s="39" t="str">
        <f>IF('Seznam zápasů'!G290="","",'Seznam zápasů'!G290)</f>
        <v/>
      </c>
      <c r="AQ15" s="39" t="str">
        <f>IF('Seznam zápasů'!H290="","",'Seznam zápasů'!H290)</f>
        <v/>
      </c>
      <c r="AR15" s="39" t="str">
        <f>IF('Seznam zápasů'!I290="","",'Seznam zápasů'!I290)</f>
        <v/>
      </c>
      <c r="AS15" s="39" t="str">
        <f ca="1">IF('Seznam zápasů'!J290="","",'Seznam zápasů'!J290)</f>
        <v>Nadcházející</v>
      </c>
      <c r="AT15" s="42">
        <f>IF('Seznam zápasů'!A252="","",'Seznam zápasů'!A252)</f>
        <v>46410</v>
      </c>
      <c r="AU15" s="39" t="str">
        <f>IF('Seznam zápasů'!B252="","",'Seznam zápasů'!B252)</f>
        <v>So</v>
      </c>
      <c r="AV15" s="39" t="str">
        <f>IF('Seznam zápasů'!D252="","",'Seznam zápasů'!D252)</f>
        <v>NRL</v>
      </c>
      <c r="AW15" s="39" t="str">
        <f>IF('Seznam zápasů'!E252="","",'Seznam zápasů'!E252)</f>
        <v>Tigers České Budějovice</v>
      </c>
      <c r="AX15" s="45" t="str">
        <f>IF('Seznam zápasů'!F252="","",'Seznam zápasů'!F252)</f>
        <v>19273</v>
      </c>
      <c r="AY15" s="39" t="str">
        <f>IF('Seznam zápasů'!G252="","",'Seznam zápasů'!G252)</f>
        <v/>
      </c>
      <c r="AZ15" s="39" t="str">
        <f>IF('Seznam zápasů'!H252="","",'Seznam zápasů'!H252)</f>
        <v/>
      </c>
      <c r="BA15" s="39" t="str">
        <f>IF('Seznam zápasů'!I252="","",'Seznam zápasů'!I252)</f>
        <v/>
      </c>
      <c r="BB15" s="39" t="str">
        <f ca="1">IF('Seznam zápasů'!J252="","",'Seznam zápasů'!J252)</f>
        <v>Nadcházející</v>
      </c>
      <c r="BC15" s="42">
        <f>IF('Seznam zápasů'!A227="","",'Seznam zápasů'!A227)</f>
        <v>46403</v>
      </c>
      <c r="BD15" s="39" t="str">
        <f>IF('Seznam zápasů'!B227="","",'Seznam zápasů'!B227)</f>
        <v>So</v>
      </c>
      <c r="BE15" s="39" t="str">
        <f>IF('Seznam zápasů'!D227="","",'Seznam zápasů'!D227)</f>
        <v>nadreg. liga</v>
      </c>
      <c r="BF15" s="39" t="str">
        <f>IF('Seznam zápasů'!E227="","",'Seznam zápasů'!E227)</f>
        <v>BC Kolín B</v>
      </c>
      <c r="BG15" s="45" t="str">
        <f>IF('Seznam zápasů'!F227="","",'Seznam zápasů'!F227)</f>
        <v>17188</v>
      </c>
      <c r="BH15" s="39" t="str">
        <f>IF('Seznam zápasů'!G227="","",'Seznam zápasů'!G227)</f>
        <v/>
      </c>
      <c r="BI15" s="39" t="str">
        <f>IF('Seznam zápasů'!H227="","",'Seznam zápasů'!H227)</f>
        <v/>
      </c>
      <c r="BJ15" s="39" t="str">
        <f>IF('Seznam zápasů'!I227="","",'Seznam zápasů'!I227)</f>
        <v/>
      </c>
      <c r="BK15" s="39" t="str">
        <f ca="1">IF('Seznam zápasů'!J227="","",'Seznam zápasů'!J227)</f>
        <v>Nadcházející</v>
      </c>
      <c r="BL15" s="42">
        <f>IF('Seznam zápasů'!A228="","",'Seznam zápasů'!A228)</f>
        <v>46403</v>
      </c>
      <c r="BM15" s="39" t="str">
        <f>IF('Seznam zápasů'!B228="","",'Seznam zápasů'!B228)</f>
        <v>So</v>
      </c>
      <c r="BN15" s="39" t="str">
        <f>IF('Seznam zápasů'!D228="","",'Seznam zápasů'!D228)</f>
        <v>celostátní liga</v>
      </c>
      <c r="BO15" s="39" t="str">
        <f>IF('Seznam zápasů'!E228="","",'Seznam zápasů'!E228)</f>
        <v>Sokol Nusle</v>
      </c>
      <c r="BP15" s="45" t="str">
        <f>IF('Seznam zápasů'!F228="","",'Seznam zápasů'!F228)</f>
        <v>106</v>
      </c>
      <c r="BQ15" s="39" t="str">
        <f>IF('Seznam zápasů'!G228="","",'Seznam zápasů'!G228)</f>
        <v/>
      </c>
      <c r="BR15" s="39" t="str">
        <f>IF('Seznam zápasů'!H228="","",'Seznam zápasů'!H228)</f>
        <v/>
      </c>
      <c r="BS15" s="39" t="str">
        <f>IF('Seznam zápasů'!I228="","",'Seznam zápasů'!I228)</f>
        <v/>
      </c>
      <c r="BT15" s="39" t="str">
        <f ca="1">IF('Seznam zápasů'!J228="","",'Seznam zápasů'!J228)</f>
        <v>Nadcházející</v>
      </c>
      <c r="BU15" s="42">
        <f>IF('Seznam zápasů'!A229="","",'Seznam zápasů'!A229)</f>
        <v>46403</v>
      </c>
      <c r="BV15" s="39" t="str">
        <f>IF('Seznam zápasů'!B229="","",'Seznam zápasů'!B229)</f>
        <v>So</v>
      </c>
      <c r="BW15" s="39" t="str">
        <f>IF('Seznam zápasů'!D229="","",'Seznam zápasů'!D229)</f>
        <v>nadreg. liga</v>
      </c>
      <c r="BX15" s="39" t="str">
        <f>IF('Seznam zápasů'!E229="","",'Seznam zápasů'!E229)</f>
        <v>BK Strakonice B</v>
      </c>
      <c r="BY15" s="45" t="str">
        <f>IF('Seznam zápasů'!F229="","",'Seznam zápasů'!F229)</f>
        <v>17605</v>
      </c>
      <c r="BZ15" s="39" t="str">
        <f>IF('Seznam zápasů'!G229="","",'Seznam zápasů'!G229)</f>
        <v/>
      </c>
      <c r="CA15" s="39" t="str">
        <f>IF('Seznam zápasů'!H229="","",'Seznam zápasů'!H229)</f>
        <v/>
      </c>
      <c r="CB15" s="39" t="str">
        <f>IF('Seznam zápasů'!I229="","",'Seznam zápasů'!I229)</f>
        <v/>
      </c>
      <c r="CC15" s="39" t="str">
        <f ca="1">IF('Seznam zápasů'!J229="","",'Seznam zápasů'!J229)</f>
        <v>Nadcházející</v>
      </c>
      <c r="CD15" s="42">
        <f>IF('Seznam zápasů'!A258="","",'Seznam zápasů'!A258)</f>
        <v>46410</v>
      </c>
      <c r="CE15" s="39" t="str">
        <f>IF('Seznam zápasů'!B258="","",'Seznam zápasů'!B258)</f>
        <v>So</v>
      </c>
      <c r="CF15" s="39" t="str">
        <f>IF('Seznam zápasů'!D258="","",'Seznam zápasů'!D258)</f>
        <v>žákovská liga</v>
      </c>
      <c r="CG15" s="39" t="str">
        <f>IF('Seznam zápasů'!E258="","",'Seznam zápasů'!E258)</f>
        <v>Slavi Tygři Praha</v>
      </c>
      <c r="CH15" s="45" t="str">
        <f>IF('Seznam zápasů'!F258="","",'Seznam zápasů'!F258)</f>
        <v>049</v>
      </c>
      <c r="CI15" s="39" t="str">
        <f>IF('Seznam zápasů'!G258="","",'Seznam zápasů'!G258)</f>
        <v/>
      </c>
      <c r="CJ15" s="39" t="str">
        <f>IF('Seznam zápasů'!H258="","",'Seznam zápasů'!H258)</f>
        <v/>
      </c>
      <c r="CK15" s="39" t="str">
        <f>IF('Seznam zápasů'!I258="","",'Seznam zápasů'!I258)</f>
        <v/>
      </c>
      <c r="CL15" s="39" t="str">
        <f ca="1">IF('Seznam zápasů'!J258="","",'Seznam zápasů'!J258)</f>
        <v>Nadcházející</v>
      </c>
      <c r="CM15" s="42">
        <f>IF('Seznam zápasů'!A259="","",'Seznam zápasů'!A259)</f>
        <v>46410</v>
      </c>
      <c r="CN15" s="39" t="str">
        <f>IF('Seznam zápasů'!B259="","",'Seznam zápasů'!B259)</f>
        <v>So</v>
      </c>
      <c r="CO15" s="39" t="str">
        <f>IF('Seznam zápasů'!D259="","",'Seznam zápasů'!D259)</f>
        <v>žákovská liga</v>
      </c>
      <c r="CP15" s="39" t="str">
        <f>IF('Seznam zápasů'!E259="","",'Seznam zápasů'!E259)</f>
        <v>DBaK</v>
      </c>
      <c r="CQ15" s="45" t="str">
        <f>IF('Seznam zápasů'!F259="","",'Seznam zápasů'!F259)</f>
        <v>051</v>
      </c>
      <c r="CR15" s="39" t="str">
        <f>IF('Seznam zápasů'!G259="","",'Seznam zápasů'!G259)</f>
        <v/>
      </c>
      <c r="CS15" s="39" t="str">
        <f>IF('Seznam zápasů'!H259="","",'Seznam zápasů'!H259)</f>
        <v/>
      </c>
      <c r="CT15" s="39" t="str">
        <f>IF('Seznam zápasů'!I259="","",'Seznam zápasů'!I259)</f>
        <v/>
      </c>
      <c r="CU15" s="39" t="str">
        <f ca="1">IF('Seznam zápasů'!J259="","",'Seznam zápasů'!J259)</f>
        <v>Nadcházející</v>
      </c>
      <c r="CV15" s="42">
        <f>IF('Seznam zápasů'!A267="","",'Seznam zápasů'!A267)</f>
        <v>46411</v>
      </c>
      <c r="CW15" s="39" t="str">
        <f>IF('Seznam zápasů'!B267="","",'Seznam zápasů'!B267)</f>
        <v>Ne</v>
      </c>
      <c r="CX15" s="39" t="str">
        <f>IF('Seznam zápasů'!D267="","",'Seznam zápasů'!D267)</f>
        <v>nadreg. Liga</v>
      </c>
      <c r="CY15" s="39" t="str">
        <f>IF('Seznam zápasů'!E267="","",'Seznam zápasů'!E267)</f>
        <v>Sokol Pečky</v>
      </c>
      <c r="CZ15" s="45" t="str">
        <f>IF('Seznam zápasů'!F267="","",'Seznam zápasů'!F267)</f>
        <v>092</v>
      </c>
      <c r="DA15" s="39" t="str">
        <f>IF('Seznam zápasů'!G267="","",'Seznam zápasů'!G267)</f>
        <v/>
      </c>
      <c r="DB15" s="39" t="str">
        <f>IF('Seznam zápasů'!H267="","",'Seznam zápasů'!H267)</f>
        <v/>
      </c>
      <c r="DC15" s="39" t="str">
        <f>IF('Seznam zápasů'!I267="","",'Seznam zápasů'!I267)</f>
        <v/>
      </c>
      <c r="DD15" s="39" t="str">
        <f ca="1">IF('Seznam zápasů'!J267="","",'Seznam zápasů'!J267)</f>
        <v>Nadcházející</v>
      </c>
      <c r="DE15" s="42">
        <f>IF('Seznam zápasů'!A234="","",'Seznam zápasů'!A234)</f>
        <v>46403</v>
      </c>
      <c r="DF15" s="39" t="str">
        <f>IF('Seznam zápasů'!B234="","",'Seznam zápasů'!B234)</f>
        <v>So</v>
      </c>
      <c r="DG15" s="39" t="str">
        <f>IF('Seznam zápasů'!D234="","",'Seznam zápasů'!D234)</f>
        <v>žákovská liga</v>
      </c>
      <c r="DH15" s="39" t="str">
        <f>IF('Seznam zápasů'!E234="","",'Seznam zápasů'!E234)</f>
        <v>F1, S1</v>
      </c>
      <c r="DI15" s="45" t="str">
        <f>IF('Seznam zápasů'!F234="","",'Seznam zápasů'!F234)</f>
        <v/>
      </c>
      <c r="DJ15" s="39" t="str">
        <f>IF('Seznam zápasů'!G234="","",'Seznam zápasů'!G234)</f>
        <v/>
      </c>
      <c r="DK15" s="39" t="str">
        <f>IF('Seznam zápasů'!H234="","",'Seznam zápasů'!H234)</f>
        <v/>
      </c>
      <c r="DL15" s="39" t="str">
        <f>IF('Seznam zápasů'!I234="","",'Seznam zápasů'!I234)</f>
        <v/>
      </c>
      <c r="DM15" s="39" t="str">
        <f ca="1">IF('Seznam zápasů'!J234="","",'Seznam zápasů'!J234)</f>
        <v>Nadcházející</v>
      </c>
      <c r="DN15" s="42">
        <f>IF('Seznam zápasů'!A251="","",'Seznam zápasů'!A251)</f>
        <v>46407</v>
      </c>
      <c r="DO15" s="39" t="str">
        <f>IF('Seznam zápasů'!B251="","",'Seznam zápasů'!B251)</f>
        <v>St</v>
      </c>
      <c r="DP15" s="39" t="str">
        <f>IF('Seznam zápasů'!D251="","",'Seznam zápasů'!D251)</f>
        <v>žákovská liga</v>
      </c>
      <c r="DQ15" s="39" t="str">
        <f>IF('Seznam zápasů'!E251="","",'Seznam zápasů'!E251)</f>
        <v>FD, SD</v>
      </c>
      <c r="DR15" s="45" t="str">
        <f>IF('Seznam zápasů'!F251="","",'Seznam zápasů'!F251)</f>
        <v/>
      </c>
      <c r="DS15" s="39" t="str">
        <f>IF('Seznam zápasů'!G251="","",'Seznam zápasů'!G251)</f>
        <v/>
      </c>
      <c r="DT15" s="39" t="str">
        <f>IF('Seznam zápasů'!H251="","",'Seznam zápasů'!H251)</f>
        <v/>
      </c>
      <c r="DU15" s="39" t="str">
        <f>IF('Seznam zápasů'!I251="","",'Seznam zápasů'!I251)</f>
        <v/>
      </c>
      <c r="DV15" s="39" t="str">
        <f ca="1">IF('Seznam zápasů'!J251="","",'Seznam zápasů'!J251)</f>
        <v>Nadcházející</v>
      </c>
      <c r="EF15" s="42">
        <f>IF('Seznam zápasů'!A330="","",'Seznam zápasů'!A330)</f>
        <v>46452</v>
      </c>
      <c r="EG15" s="39" t="str">
        <f>IF('Seznam zápasů'!B330="","",'Seznam zápasů'!B330)</f>
        <v>So</v>
      </c>
      <c r="EH15" s="39" t="str">
        <f>IF('Seznam zápasů'!D330="","",'Seznam zápasů'!D330)</f>
        <v>KP + kval. o NF</v>
      </c>
      <c r="EI15" s="39" t="str">
        <f>IF('Seznam zápasů'!E330="","",'Seznam zápasů'!E330)</f>
        <v>BK Český Brod</v>
      </c>
      <c r="EJ15" s="45" t="str">
        <f>IF('Seznam zápasů'!F330="","",'Seznam zápasů'!F330)</f>
        <v>043</v>
      </c>
      <c r="EK15" s="39" t="str">
        <f>IF('Seznam zápasů'!G330="","",'Seznam zápasů'!G330)</f>
        <v/>
      </c>
      <c r="EL15" s="39" t="str">
        <f>IF('Seznam zápasů'!H330="","",'Seznam zápasů'!H330)</f>
        <v/>
      </c>
      <c r="EM15" s="39" t="str">
        <f>IF('Seznam zápasů'!I330="","",'Seznam zápasů'!I330)</f>
        <v/>
      </c>
      <c r="EN15" s="39" t="str">
        <f ca="1">IF('Seznam zápasů'!J330="","",'Seznam zápasů'!J330)</f>
        <v>Nadcházející</v>
      </c>
      <c r="FP15" s="42">
        <f>IF('Seznam zápasů'!A215="","",'Seznam zápasů'!A215)</f>
        <v>46396</v>
      </c>
      <c r="FQ15" s="39" t="str">
        <f>IF('Seznam zápasů'!B215="","",'Seznam zápasů'!B215)</f>
        <v>So</v>
      </c>
      <c r="FR15" s="39" t="str">
        <f>IF('Seznam zápasů'!D215="","",'Seznam zápasů'!D215)</f>
        <v>KP + kval. o NF</v>
      </c>
      <c r="FS15" s="39" t="str">
        <f>IF('Seznam zápasů'!E215="","",'Seznam zápasů'!E215)</f>
        <v>ŠBK Sadská kval.</v>
      </c>
      <c r="FT15" s="45" t="str">
        <f>IF('Seznam zápasů'!F215="","",'Seznam zápasů'!F215)</f>
        <v>002</v>
      </c>
      <c r="FU15" s="39" t="str">
        <f>IF('Seznam zápasů'!G215="","",'Seznam zápasů'!G215)</f>
        <v/>
      </c>
      <c r="FV15" s="39" t="str">
        <f>IF('Seznam zápasů'!H215="","",'Seznam zápasů'!H215)</f>
        <v/>
      </c>
      <c r="FW15" s="39" t="str">
        <f>IF('Seznam zápasů'!I215="","",'Seznam zápasů'!I215)</f>
        <v/>
      </c>
      <c r="FX15" s="39" t="str">
        <f ca="1">IF('Seznam zápasů'!J215="","",'Seznam zápasů'!J215)</f>
        <v>Nadcházející</v>
      </c>
      <c r="FY15" s="43">
        <f>IF('Seznam zápasů'!A404="","",'Seznam zápasů'!A404)</f>
        <v>46494</v>
      </c>
      <c r="FZ15" s="40" t="str">
        <f>IF('Seznam zápasů'!B404="","",'Seznam zápasů'!B404)</f>
        <v>So</v>
      </c>
      <c r="GA15" s="40" t="str">
        <f>IF('Seznam zápasů'!D404="","",'Seznam zápasů'!D404)</f>
        <v>KP + kval. o NF</v>
      </c>
      <c r="GB15" s="40" t="str">
        <f>IF('Seznam zápasů'!E404="","",'Seznam zápasů'!E404)</f>
        <v>1-2,3-4,5-6,7-8</v>
      </c>
      <c r="GC15" s="46" t="str">
        <f>IF('Seznam zápasů'!F404="","",'Seznam zápasů'!F404)</f>
        <v/>
      </c>
      <c r="GD15" s="40" t="str">
        <f>IF('Seznam zápasů'!G404="","",'Seznam zápasů'!G404)</f>
        <v/>
      </c>
      <c r="GE15" s="40" t="str">
        <f>IF('Seznam zápasů'!H404="","",'Seznam zápasů'!H404)</f>
        <v/>
      </c>
      <c r="GF15" s="40" t="str">
        <f>IF('Seznam zápasů'!I404="","",'Seznam zápasů'!I404)</f>
        <v/>
      </c>
      <c r="GG15" s="40" t="str">
        <f ca="1">IF('Seznam zápasů'!J404="","",'Seznam zápasů'!J404)</f>
        <v>Nadcházející</v>
      </c>
      <c r="GH15" s="43">
        <f>IF('Seznam zápasů'!A391="","",'Seznam zápasů'!A391)</f>
        <v>46487</v>
      </c>
      <c r="GI15" s="40" t="str">
        <f>IF('Seznam zápasů'!B391="","",'Seznam zápasů'!B391)</f>
        <v>So</v>
      </c>
      <c r="GJ15" s="40" t="str">
        <f>IF('Seznam zápasů'!D391="","",'Seznam zápasů'!D391)</f>
        <v>KP + kval. o NF</v>
      </c>
      <c r="GK15" s="40" t="str">
        <f>IF('Seznam zápasů'!E391="","",'Seznam zápasů'!E391)</f>
        <v>1-4,5-7</v>
      </c>
      <c r="GL15" s="46" t="str">
        <f>IF('Seznam zápasů'!F391="","",'Seznam zápasů'!F391)</f>
        <v/>
      </c>
      <c r="GM15" s="40" t="str">
        <f>IF('Seznam zápasů'!G391="","",'Seznam zápasů'!G391)</f>
        <v/>
      </c>
      <c r="GN15" s="40" t="str">
        <f>IF('Seznam zápasů'!H391="","",'Seznam zápasů'!H391)</f>
        <v/>
      </c>
      <c r="GO15" s="40" t="str">
        <f>IF('Seznam zápasů'!I391="","",'Seznam zápasů'!I391)</f>
        <v/>
      </c>
      <c r="GP15" s="40" t="str">
        <f ca="1">IF('Seznam zápasů'!J391="","",'Seznam zápasů'!J391)</f>
        <v>Nadcházející</v>
      </c>
    </row>
    <row r="16" spans="1:216" x14ac:dyDescent="0.2">
      <c r="A16" s="42">
        <f>IF('Seznam zápasů'!A244="","",'Seznam zápasů'!A244)</f>
        <v>46404</v>
      </c>
      <c r="B16" s="39" t="str">
        <f>IF('Seznam zápasů'!B244="","",'Seznam zápasů'!B244)</f>
        <v>Ne</v>
      </c>
      <c r="C16" s="39" t="str">
        <f>IF('Seznam zápasů'!D244="","",'Seznam zápasů'!D244)</f>
        <v>SBLM</v>
      </c>
      <c r="D16" s="39" t="str">
        <f>IF('Seznam zápasů'!E244="","",'Seznam zápasů'!E244)</f>
        <v>BK Český Brod</v>
      </c>
      <c r="E16" s="45" t="str">
        <f>IF('Seznam zápasů'!F244="","",'Seznam zápasů'!F244)</f>
        <v>087</v>
      </c>
      <c r="F16" s="39" t="str">
        <f>IF('Seznam zápasů'!G244="","",'Seznam zápasů'!G244)</f>
        <v/>
      </c>
      <c r="G16" s="39" t="str">
        <f>IF('Seznam zápasů'!H244="","",'Seznam zápasů'!H244)</f>
        <v/>
      </c>
      <c r="H16" s="39" t="str">
        <f>IF('Seznam zápasů'!I244="","",'Seznam zápasů'!I244)</f>
        <v/>
      </c>
      <c r="I16" s="39" t="str">
        <f ca="1">IF('Seznam zápasů'!J244="","",'Seznam zápasů'!J244)</f>
        <v>Nadcházející</v>
      </c>
      <c r="J16" s="42">
        <f>IF('Seznam zápasů'!A333="","",'Seznam zápasů'!A333)</f>
        <v>46452</v>
      </c>
      <c r="K16" s="39" t="str">
        <f>IF('Seznam zápasů'!B333="","",'Seznam zápasů'!B333)</f>
        <v>So</v>
      </c>
      <c r="L16" s="39" t="str">
        <f>IF('Seznam zápasů'!D333="","",'Seznam zápasů'!D333)</f>
        <v>KP</v>
      </c>
      <c r="M16" s="39" t="str">
        <f>IF('Seznam zápasů'!E333="","",'Seznam zápasů'!E333)</f>
        <v>Sokol Kutná Hora</v>
      </c>
      <c r="N16" s="45" t="str">
        <f>IF('Seznam zápasů'!F333="","",'Seznam zápasů'!F333)</f>
        <v>059</v>
      </c>
      <c r="O16" s="39" t="str">
        <f>IF('Seznam zápasů'!G333="","",'Seznam zápasů'!G333)</f>
        <v/>
      </c>
      <c r="P16" s="39" t="str">
        <f>IF('Seznam zápasů'!H333="","",'Seznam zápasů'!H333)</f>
        <v/>
      </c>
      <c r="Q16" s="39" t="str">
        <f>IF('Seznam zápasů'!I333="","",'Seznam zápasů'!I333)</f>
        <v/>
      </c>
      <c r="R16" s="39" t="str">
        <f ca="1">IF('Seznam zápasů'!J333="","",'Seznam zápasů'!J333)</f>
        <v>Nadcházející</v>
      </c>
      <c r="S16" s="42">
        <f>IF('Seznam zápasů'!A248="","",'Seznam zápasů'!A248)</f>
        <v>46404</v>
      </c>
      <c r="T16" s="39" t="str">
        <f>IF('Seznam zápasů'!B248="","",'Seznam zápasů'!B248)</f>
        <v>Ne</v>
      </c>
      <c r="U16" s="39" t="str">
        <f>IF('Seznam zápasů'!D248="","",'Seznam zápasů'!D248)</f>
        <v>II. Liga</v>
      </c>
      <c r="V16" s="39" t="str">
        <f>IF('Seznam zápasů'!E248="","",'Seznam zápasů'!E248)</f>
        <v>DBaK</v>
      </c>
      <c r="W16" s="45" t="str">
        <f>IF('Seznam zápasů'!F248="","",'Seznam zápasů'!F248)</f>
        <v>054</v>
      </c>
      <c r="X16" s="39" t="str">
        <f>IF('Seznam zápasů'!G248="","",'Seznam zápasů'!G248)</f>
        <v/>
      </c>
      <c r="Y16" s="39" t="str">
        <f>IF('Seznam zápasů'!H248="","",'Seznam zápasů'!H248)</f>
        <v/>
      </c>
      <c r="Z16" s="39" t="str">
        <f>IF('Seznam zápasů'!I248="","",'Seznam zápasů'!I248)</f>
        <v/>
      </c>
      <c r="AA16" s="39" t="str">
        <f ca="1">IF('Seznam zápasů'!J248="","",'Seznam zápasů'!J248)</f>
        <v>Nadcházející</v>
      </c>
      <c r="AB16" s="42">
        <f>IF('Seznam zápasů'!A311="","",'Seznam zápasů'!A311)</f>
        <v>46438</v>
      </c>
      <c r="AC16" s="39" t="str">
        <f>IF('Seznam zápasů'!B311="","",'Seznam zápasů'!B311)</f>
        <v>So</v>
      </c>
      <c r="AD16" s="39" t="str">
        <f>IF('Seznam zápasů'!D311="","",'Seznam zápasů'!D311)</f>
        <v>SBLŽ</v>
      </c>
      <c r="AE16" s="39" t="str">
        <f>IF('Seznam zápasů'!E311="","",'Seznam zápasů'!E311)</f>
        <v>BK Kralupy Junior</v>
      </c>
      <c r="AF16" s="45" t="str">
        <f>IF('Seznam zápasů'!F311="","",'Seznam zápasů'!F311)</f>
        <v>060</v>
      </c>
      <c r="AG16" s="39" t="str">
        <f>IF('Seznam zápasů'!G311="","",'Seznam zápasů'!G311)</f>
        <v/>
      </c>
      <c r="AH16" s="39" t="str">
        <f>IF('Seznam zápasů'!H311="","",'Seznam zápasů'!H311)</f>
        <v/>
      </c>
      <c r="AI16" s="39" t="str">
        <f>IF('Seznam zápasů'!I311="","",'Seznam zápasů'!I311)</f>
        <v/>
      </c>
      <c r="AJ16" s="39" t="str">
        <f ca="1">IF('Seznam zápasů'!J311="","",'Seznam zápasů'!J311)</f>
        <v>Nadcházející</v>
      </c>
      <c r="AK16" s="42">
        <f>IF('Seznam zápasů'!A312="","",'Seznam zápasů'!A312)</f>
        <v>46438</v>
      </c>
      <c r="AL16" s="39" t="str">
        <f>IF('Seznam zápasů'!B312="","",'Seznam zápasů'!B312)</f>
        <v>So</v>
      </c>
      <c r="AM16" s="39" t="str">
        <f>IF('Seznam zápasů'!D312="","",'Seznam zápasů'!D312)</f>
        <v>SBLŽ</v>
      </c>
      <c r="AN16" s="39" t="str">
        <f>IF('Seznam zápasů'!E312="","",'Seznam zápasů'!E312)</f>
        <v>BC Slaný</v>
      </c>
      <c r="AO16" s="45" t="str">
        <f>IF('Seznam zápasů'!F312="","",'Seznam zápasů'!F312)</f>
        <v>061</v>
      </c>
      <c r="AP16" s="39" t="str">
        <f>IF('Seznam zápasů'!G312="","",'Seznam zápasů'!G312)</f>
        <v/>
      </c>
      <c r="AQ16" s="39" t="str">
        <f>IF('Seznam zápasů'!H312="","",'Seznam zápasů'!H312)</f>
        <v/>
      </c>
      <c r="AR16" s="39" t="str">
        <f>IF('Seznam zápasů'!I312="","",'Seznam zápasů'!I312)</f>
        <v/>
      </c>
      <c r="AS16" s="39" t="str">
        <f ca="1">IF('Seznam zápasů'!J312="","",'Seznam zápasů'!J312)</f>
        <v>Nadcházející</v>
      </c>
      <c r="AT16" s="43">
        <f>IF('Seznam zápasů'!A261="","",'Seznam zápasů'!A261)</f>
        <v>46411</v>
      </c>
      <c r="AU16" s="40" t="str">
        <f>IF('Seznam zápasů'!B261="","",'Seznam zápasů'!B261)</f>
        <v>Ne</v>
      </c>
      <c r="AV16" s="40" t="str">
        <f>IF('Seznam zápasů'!D261="","",'Seznam zápasů'!D261)</f>
        <v>NRL</v>
      </c>
      <c r="AW16" s="40" t="str">
        <f>IF('Seznam zápasů'!E261="","",'Seznam zápasů'!E261)</f>
        <v>BK Lions Jindřichův Hradec</v>
      </c>
      <c r="AX16" s="46" t="str">
        <f>IF('Seznam zápasů'!F261="","",'Seznam zápasů'!F261)</f>
        <v>19277</v>
      </c>
      <c r="AY16" s="40" t="str">
        <f>IF('Seznam zápasů'!G261="","",'Seznam zápasů'!G261)</f>
        <v/>
      </c>
      <c r="AZ16" s="40" t="str">
        <f>IF('Seznam zápasů'!H261="","",'Seznam zápasů'!H261)</f>
        <v/>
      </c>
      <c r="BA16" s="40" t="str">
        <f>IF('Seznam zápasů'!I261="","",'Seznam zápasů'!I261)</f>
        <v/>
      </c>
      <c r="BB16" s="40" t="str">
        <f ca="1">IF('Seznam zápasů'!J261="","",'Seznam zápasů'!J261)</f>
        <v>Nadcházející</v>
      </c>
      <c r="BC16" s="42">
        <f>IF('Seznam zápasů'!A240="","",'Seznam zápasů'!A240)</f>
        <v>46404</v>
      </c>
      <c r="BD16" s="39" t="str">
        <f>IF('Seznam zápasů'!B240="","",'Seznam zápasů'!B240)</f>
        <v>Ne</v>
      </c>
      <c r="BE16" s="39" t="str">
        <f>IF('Seznam zápasů'!D240="","",'Seznam zápasů'!D240)</f>
        <v>nadreg. liga</v>
      </c>
      <c r="BF16" s="39" t="str">
        <f>IF('Seznam zápasů'!E240="","",'Seznam zápasů'!E240)</f>
        <v>BC Kolín A</v>
      </c>
      <c r="BG16" s="45" t="str">
        <f>IF('Seznam zápasů'!F240="","",'Seznam zápasů'!F240)</f>
        <v>17194</v>
      </c>
      <c r="BH16" s="39" t="str">
        <f>IF('Seznam zápasů'!G240="","",'Seznam zápasů'!G240)</f>
        <v/>
      </c>
      <c r="BI16" s="39" t="str">
        <f>IF('Seznam zápasů'!H240="","",'Seznam zápasů'!H240)</f>
        <v/>
      </c>
      <c r="BJ16" s="39" t="str">
        <f>IF('Seznam zápasů'!I240="","",'Seznam zápasů'!I240)</f>
        <v/>
      </c>
      <c r="BK16" s="39" t="str">
        <f ca="1">IF('Seznam zápasů'!J240="","",'Seznam zápasů'!J240)</f>
        <v>Nadcházející</v>
      </c>
      <c r="BL16" s="42">
        <f>IF('Seznam zápasů'!A241="","",'Seznam zápasů'!A241)</f>
        <v>46404</v>
      </c>
      <c r="BM16" s="39" t="str">
        <f>IF('Seznam zápasů'!B241="","",'Seznam zápasů'!B241)</f>
        <v>Ne</v>
      </c>
      <c r="BN16" s="39" t="str">
        <f>IF('Seznam zápasů'!D241="","",'Seznam zápasů'!D241)</f>
        <v>celostátní liga</v>
      </c>
      <c r="BO16" s="39" t="str">
        <f>IF('Seznam zápasů'!E241="","",'Seznam zápasů'!E241)</f>
        <v>Studánka Pardubice</v>
      </c>
      <c r="BP16" s="45" t="str">
        <f>IF('Seznam zápasů'!F241="","",'Seznam zápasů'!F241)</f>
        <v>110</v>
      </c>
      <c r="BQ16" s="39" t="str">
        <f>IF('Seznam zápasů'!G241="","",'Seznam zápasů'!G241)</f>
        <v/>
      </c>
      <c r="BR16" s="39" t="str">
        <f>IF('Seznam zápasů'!H241="","",'Seznam zápasů'!H241)</f>
        <v/>
      </c>
      <c r="BS16" s="39" t="str">
        <f>IF('Seznam zápasů'!I241="","",'Seznam zápasů'!I241)</f>
        <v/>
      </c>
      <c r="BT16" s="39" t="str">
        <f ca="1">IF('Seznam zápasů'!J241="","",'Seznam zápasů'!J241)</f>
        <v>Nadcházející</v>
      </c>
      <c r="BU16" s="42">
        <f>IF('Seznam zápasů'!A242="","",'Seznam zápasů'!A242)</f>
        <v>46404</v>
      </c>
      <c r="BV16" s="39" t="str">
        <f>IF('Seznam zápasů'!B242="","",'Seznam zápasů'!B242)</f>
        <v>Ne</v>
      </c>
      <c r="BW16" s="39" t="str">
        <f>IF('Seznam zápasů'!D242="","",'Seznam zápasů'!D242)</f>
        <v>nadreg. liga</v>
      </c>
      <c r="BX16" s="39" t="str">
        <f>IF('Seznam zápasů'!E242="","",'Seznam zápasů'!E242)</f>
        <v>BK Klatovy</v>
      </c>
      <c r="BY16" s="45" t="str">
        <f>IF('Seznam zápasů'!F242="","",'Seznam zápasů'!F242)</f>
        <v>17612</v>
      </c>
      <c r="BZ16" s="39" t="str">
        <f>IF('Seznam zápasů'!G242="","",'Seznam zápasů'!G242)</f>
        <v/>
      </c>
      <c r="CA16" s="39" t="str">
        <f>IF('Seznam zápasů'!H242="","",'Seznam zápasů'!H242)</f>
        <v/>
      </c>
      <c r="CB16" s="39" t="str">
        <f>IF('Seznam zápasů'!I242="","",'Seznam zápasů'!I242)</f>
        <v/>
      </c>
      <c r="CC16" s="39" t="str">
        <f ca="1">IF('Seznam zápasů'!J242="","",'Seznam zápasů'!J242)</f>
        <v>Nadcházející</v>
      </c>
      <c r="CD16" s="42">
        <f>IF('Seznam zápasů'!A265="","",'Seznam zápasů'!A265)</f>
        <v>46411</v>
      </c>
      <c r="CE16" s="39" t="str">
        <f>IF('Seznam zápasů'!B265="","",'Seznam zápasů'!B265)</f>
        <v>Ne</v>
      </c>
      <c r="CF16" s="39" t="str">
        <f>IF('Seznam zápasů'!D265="","",'Seznam zápasů'!D265)</f>
        <v>žákovská liga</v>
      </c>
      <c r="CG16" s="39" t="str">
        <f>IF('Seznam zápasů'!E265="","",'Seznam zápasů'!E265)</f>
        <v>BK Lokomotiva Plzeň</v>
      </c>
      <c r="CH16" s="45" t="str">
        <f>IF('Seznam zápasů'!F265="","",'Seznam zápasů'!F265)</f>
        <v>053</v>
      </c>
      <c r="CI16" s="39" t="str">
        <f>IF('Seznam zápasů'!G265="","",'Seznam zápasů'!G265)</f>
        <v/>
      </c>
      <c r="CJ16" s="39" t="str">
        <f>IF('Seznam zápasů'!H265="","",'Seznam zápasů'!H265)</f>
        <v/>
      </c>
      <c r="CK16" s="39" t="str">
        <f>IF('Seznam zápasů'!I265="","",'Seznam zápasů'!I265)</f>
        <v/>
      </c>
      <c r="CL16" s="39" t="str">
        <f ca="1">IF('Seznam zápasů'!J265="","",'Seznam zápasů'!J265)</f>
        <v>Nadcházející</v>
      </c>
      <c r="CM16" s="42">
        <f>IF('Seznam zápasů'!A266="","",'Seznam zápasů'!A266)</f>
        <v>46411</v>
      </c>
      <c r="CN16" s="39" t="str">
        <f>IF('Seznam zápasů'!B266="","",'Seznam zápasů'!B266)</f>
        <v>Ne</v>
      </c>
      <c r="CO16" s="39" t="str">
        <f>IF('Seznam zápasů'!D266="","",'Seznam zápasů'!D266)</f>
        <v>žákovská liga</v>
      </c>
      <c r="CP16" s="39" t="str">
        <f>IF('Seznam zápasů'!E266="","",'Seznam zápasů'!E266)</f>
        <v>SKB Rokycany</v>
      </c>
      <c r="CQ16" s="45" t="str">
        <f>IF('Seznam zápasů'!F266="","",'Seznam zápasů'!F266)</f>
        <v>056</v>
      </c>
      <c r="CR16" s="39" t="str">
        <f>IF('Seznam zápasů'!G266="","",'Seznam zápasů'!G266)</f>
        <v/>
      </c>
      <c r="CS16" s="39" t="str">
        <f>IF('Seznam zápasů'!H266="","",'Seznam zápasů'!H266)</f>
        <v/>
      </c>
      <c r="CT16" s="39" t="str">
        <f>IF('Seznam zápasů'!I266="","",'Seznam zápasů'!I266)</f>
        <v/>
      </c>
      <c r="CU16" s="39" t="str">
        <f ca="1">IF('Seznam zápasů'!J266="","",'Seznam zápasů'!J266)</f>
        <v>Nadcházející</v>
      </c>
      <c r="CV16" s="42">
        <f>IF('Seznam zápasů'!A301="","",'Seznam zápasů'!A301)</f>
        <v>46432</v>
      </c>
      <c r="CW16" s="39" t="str">
        <f>IF('Seznam zápasů'!B301="","",'Seznam zápasů'!B301)</f>
        <v>Ne</v>
      </c>
      <c r="CX16" s="39" t="str">
        <f>IF('Seznam zápasů'!D301="","",'Seznam zápasů'!D301)</f>
        <v>nadreg. Liga</v>
      </c>
      <c r="CY16" s="39" t="str">
        <f>IF('Seznam zápasů'!E301="","",'Seznam zápasů'!E301)</f>
        <v>BK Příbram 2000</v>
      </c>
      <c r="CZ16" s="45" t="str">
        <f>IF('Seznam zápasů'!F301="","",'Seznam zápasů'!F301)</f>
        <v>098</v>
      </c>
      <c r="DA16" s="39" t="str">
        <f>IF('Seznam zápasů'!G301="","",'Seznam zápasů'!G301)</f>
        <v/>
      </c>
      <c r="DB16" s="39" t="str">
        <f>IF('Seznam zápasů'!H301="","",'Seznam zápasů'!H301)</f>
        <v/>
      </c>
      <c r="DC16" s="39" t="str">
        <f>IF('Seznam zápasů'!I301="","",'Seznam zápasů'!I301)</f>
        <v/>
      </c>
      <c r="DD16" s="39" t="str">
        <f ca="1">IF('Seznam zápasů'!J301="","",'Seznam zápasů'!J301)</f>
        <v>Nadcházející</v>
      </c>
      <c r="DE16" s="42">
        <f>IF('Seznam zápasů'!A245="","",'Seznam zápasů'!A245)</f>
        <v>46404</v>
      </c>
      <c r="DF16" s="39" t="str">
        <f>IF('Seznam zápasů'!B245="","",'Seznam zápasů'!B245)</f>
        <v>Ne</v>
      </c>
      <c r="DG16" s="39" t="str">
        <f>IF('Seznam zápasů'!D245="","",'Seznam zápasů'!D245)</f>
        <v>žákovská liga</v>
      </c>
      <c r="DH16" s="39" t="str">
        <f>IF('Seznam zápasů'!E245="","",'Seznam zápasů'!E245)</f>
        <v>F1, S1</v>
      </c>
      <c r="DI16" s="45" t="str">
        <f>IF('Seznam zápasů'!F245="","",'Seznam zápasů'!F245)</f>
        <v/>
      </c>
      <c r="DJ16" s="39" t="str">
        <f>IF('Seznam zápasů'!G245="","",'Seznam zápasů'!G245)</f>
        <v/>
      </c>
      <c r="DK16" s="39" t="str">
        <f>IF('Seznam zápasů'!H245="","",'Seznam zápasů'!H245)</f>
        <v/>
      </c>
      <c r="DL16" s="39" t="str">
        <f>IF('Seznam zápasů'!I245="","",'Seznam zápasů'!I245)</f>
        <v/>
      </c>
      <c r="DM16" s="39" t="str">
        <f ca="1">IF('Seznam zápasů'!J245="","",'Seznam zápasů'!J245)</f>
        <v>Nadcházející</v>
      </c>
      <c r="DN16" s="42">
        <f>IF('Seznam zápasů'!A278="","",'Seznam zápasů'!A278)</f>
        <v>46424</v>
      </c>
      <c r="DO16" s="39" t="str">
        <f>IF('Seznam zápasů'!B278="","",'Seznam zápasů'!B278)</f>
        <v>So</v>
      </c>
      <c r="DP16" s="39" t="str">
        <f>IF('Seznam zápasů'!D278="","",'Seznam zápasů'!D278)</f>
        <v>žákovská liga</v>
      </c>
      <c r="DQ16" s="39" t="str">
        <f>IF('Seznam zápasů'!E278="","",'Seznam zápasů'!E278)</f>
        <v>F2, S2</v>
      </c>
      <c r="DR16" s="45" t="str">
        <f>IF('Seznam zápasů'!F278="","",'Seznam zápasů'!F278)</f>
        <v/>
      </c>
      <c r="DS16" s="39" t="str">
        <f>IF('Seznam zápasů'!G278="","",'Seznam zápasů'!G278)</f>
        <v/>
      </c>
      <c r="DT16" s="39" t="str">
        <f>IF('Seznam zápasů'!H278="","",'Seznam zápasů'!H278)</f>
        <v/>
      </c>
      <c r="DU16" s="39" t="str">
        <f>IF('Seznam zápasů'!I278="","",'Seznam zápasů'!I278)</f>
        <v/>
      </c>
      <c r="DV16" s="39" t="str">
        <f ca="1">IF('Seznam zápasů'!J278="","",'Seznam zápasů'!J278)</f>
        <v>Nadcházející</v>
      </c>
      <c r="EF16" s="42">
        <f>IF('Seznam zápasů'!A336="","",'Seznam zápasů'!A336)</f>
        <v>46453</v>
      </c>
      <c r="EG16" s="39" t="str">
        <f>IF('Seznam zápasů'!B336="","",'Seznam zápasů'!B336)</f>
        <v>Ne</v>
      </c>
      <c r="EH16" s="39" t="str">
        <f>IF('Seznam zápasů'!D336="","",'Seznam zápasů'!D336)</f>
        <v>KP + kval. o NF</v>
      </c>
      <c r="EI16" s="39" t="str">
        <f>IF('Seznam zápasů'!E336="","",'Seznam zápasů'!E336)</f>
        <v>NBK Milovice</v>
      </c>
      <c r="EJ16" s="45" t="str">
        <f>IF('Seznam zápasů'!F336="","",'Seznam zápasů'!F336)</f>
        <v>045</v>
      </c>
      <c r="EK16" s="39" t="str">
        <f>IF('Seznam zápasů'!G336="","",'Seznam zápasů'!G336)</f>
        <v/>
      </c>
      <c r="EL16" s="39" t="str">
        <f>IF('Seznam zápasů'!H336="","",'Seznam zápasů'!H336)</f>
        <v/>
      </c>
      <c r="EM16" s="39" t="str">
        <f>IF('Seznam zápasů'!I336="","",'Seznam zápasů'!I336)</f>
        <v/>
      </c>
      <c r="EN16" s="39" t="str">
        <f ca="1">IF('Seznam zápasů'!J336="","",'Seznam zápasů'!J336)</f>
        <v>Nadcházející</v>
      </c>
      <c r="FP16" s="42">
        <f>IF('Seznam zápasů'!A222="","",'Seznam zápasů'!A222)</f>
        <v>46397</v>
      </c>
      <c r="FQ16" s="39" t="str">
        <f>IF('Seznam zápasů'!B222="","",'Seznam zápasů'!B222)</f>
        <v>Ne</v>
      </c>
      <c r="FR16" s="39" t="str">
        <f>IF('Seznam zápasů'!D222="","",'Seznam zápasů'!D222)</f>
        <v>KP + kval. o NF</v>
      </c>
      <c r="FS16" s="39" t="str">
        <f>IF('Seznam zápasů'!E222="","",'Seznam zápasů'!E222)</f>
        <v>BK Brandýs kval.</v>
      </c>
      <c r="FT16" s="45" t="str">
        <f>IF('Seznam zápasů'!F222="","",'Seznam zápasů'!F222)</f>
        <v>004</v>
      </c>
      <c r="FU16" s="39" t="str">
        <f>IF('Seznam zápasů'!G222="","",'Seznam zápasů'!G222)</f>
        <v/>
      </c>
      <c r="FV16" s="39" t="str">
        <f>IF('Seznam zápasů'!H222="","",'Seznam zápasů'!H222)</f>
        <v/>
      </c>
      <c r="FW16" s="39" t="str">
        <f>IF('Seznam zápasů'!I222="","",'Seznam zápasů'!I222)</f>
        <v/>
      </c>
      <c r="FX16" s="39" t="str">
        <f ca="1">IF('Seznam zápasů'!J222="","",'Seznam zápasů'!J222)</f>
        <v>Nadcházející</v>
      </c>
    </row>
    <row r="17" spans="1:180" x14ac:dyDescent="0.2">
      <c r="A17" s="42">
        <f>IF('Seznam zápasů'!A276="","",'Seznam zápasů'!A276)</f>
        <v>46424</v>
      </c>
      <c r="B17" s="39" t="str">
        <f>IF('Seznam zápasů'!B276="","",'Seznam zápasů'!B276)</f>
        <v>So</v>
      </c>
      <c r="C17" s="39" t="str">
        <f>IF('Seznam zápasů'!D276="","",'Seznam zápasů'!D276)</f>
        <v>SBLM</v>
      </c>
      <c r="D17" s="39" t="str">
        <f>IF('Seznam zápasů'!E276="","",'Seznam zápasů'!E276)</f>
        <v>AŠ Mladá Boleslav</v>
      </c>
      <c r="E17" s="45" t="str">
        <f>IF('Seznam zápasů'!F276="","",'Seznam zápasů'!F276)</f>
        <v>091</v>
      </c>
      <c r="F17" s="39" t="str">
        <f>IF('Seznam zápasů'!G276="","",'Seznam zápasů'!G276)</f>
        <v/>
      </c>
      <c r="G17" s="39" t="str">
        <f>IF('Seznam zápasů'!H276="","",'Seznam zápasů'!H276)</f>
        <v/>
      </c>
      <c r="H17" s="39" t="str">
        <f>IF('Seznam zápasů'!I276="","",'Seznam zápasů'!I276)</f>
        <v/>
      </c>
      <c r="I17" s="39" t="str">
        <f ca="1">IF('Seznam zápasů'!J276="","",'Seznam zápasů'!J276)</f>
        <v>Nadcházející</v>
      </c>
      <c r="J17" s="42">
        <f>IF('Seznam zápasů'!A338="","",'Seznam zápasů'!A338)</f>
        <v>46453</v>
      </c>
      <c r="K17" s="39" t="str">
        <f>IF('Seznam zápasů'!B338="","",'Seznam zápasů'!B338)</f>
        <v>Ne</v>
      </c>
      <c r="L17" s="39" t="str">
        <f>IF('Seznam zápasů'!D338="","",'Seznam zápasů'!D338)</f>
        <v>KP</v>
      </c>
      <c r="M17" s="39" t="str">
        <f>IF('Seznam zápasů'!E338="","",'Seznam zápasů'!E338)</f>
        <v>Slavoj Český Brod "B"</v>
      </c>
      <c r="N17" s="45" t="str">
        <f>IF('Seznam zápasů'!F338="","",'Seznam zápasů'!F338)</f>
        <v>062</v>
      </c>
      <c r="O17" s="39" t="str">
        <f>IF('Seznam zápasů'!G338="","",'Seznam zápasů'!G338)</f>
        <v/>
      </c>
      <c r="P17" s="39" t="str">
        <f>IF('Seznam zápasů'!H338="","",'Seznam zápasů'!H338)</f>
        <v/>
      </c>
      <c r="Q17" s="39" t="str">
        <f>IF('Seznam zápasů'!I338="","",'Seznam zápasů'!I338)</f>
        <v/>
      </c>
      <c r="R17" s="39" t="str">
        <f ca="1">IF('Seznam zápasů'!J338="","",'Seznam zápasů'!J338)</f>
        <v>Nadcházející</v>
      </c>
      <c r="S17" s="42">
        <f>IF('Seznam zápasů'!A408="","",'Seznam zápasů'!A408)</f>
        <v>46494</v>
      </c>
      <c r="T17" s="39" t="str">
        <f>IF('Seznam zápasů'!B408="","",'Seznam zápasů'!B408)</f>
        <v>So</v>
      </c>
      <c r="U17" s="39" t="str">
        <f>IF('Seznam zápasů'!D408="","",'Seznam zápasů'!D408)</f>
        <v>II. Liga</v>
      </c>
      <c r="V17" s="39" t="str">
        <f>IF('Seznam zápasů'!E408="","",'Seznam zápasů'!E408)</f>
        <v>SF</v>
      </c>
      <c r="W17" s="45" t="str">
        <f>IF('Seznam zápasů'!F408="","",'Seznam zápasů'!F408)</f>
        <v/>
      </c>
      <c r="X17" s="39" t="str">
        <f>IF('Seznam zápasů'!G408="","",'Seznam zápasů'!G408)</f>
        <v/>
      </c>
      <c r="Y17" s="39" t="str">
        <f>IF('Seznam zápasů'!H408="","",'Seznam zápasů'!H408)</f>
        <v/>
      </c>
      <c r="Z17" s="39" t="str">
        <f>IF('Seznam zápasů'!I408="","",'Seznam zápasů'!I408)</f>
        <v/>
      </c>
      <c r="AA17" s="39" t="str">
        <f ca="1">IF('Seznam zápasů'!J408="","",'Seznam zápasů'!J408)</f>
        <v>Nadcházející</v>
      </c>
      <c r="AB17" s="42">
        <f>IF('Seznam zápasů'!A319="","",'Seznam zápasů'!A319)</f>
        <v>46439</v>
      </c>
      <c r="AC17" s="39" t="str">
        <f>IF('Seznam zápasů'!B319="","",'Seznam zápasů'!B319)</f>
        <v>Ne</v>
      </c>
      <c r="AD17" s="39" t="str">
        <f>IF('Seznam zápasů'!D319="","",'Seznam zápasů'!D319)</f>
        <v>SBLŽ</v>
      </c>
      <c r="AE17" s="39" t="str">
        <f>IF('Seznam zápasů'!E319="","",'Seznam zápasů'!E319)</f>
        <v>BC Slaný</v>
      </c>
      <c r="AF17" s="45" t="str">
        <f>IF('Seznam zápasů'!F319="","",'Seznam zápasů'!F319)</f>
        <v>065</v>
      </c>
      <c r="AG17" s="39" t="str">
        <f>IF('Seznam zápasů'!G319="","",'Seznam zápasů'!G319)</f>
        <v/>
      </c>
      <c r="AH17" s="39" t="str">
        <f>IF('Seznam zápasů'!H319="","",'Seznam zápasů'!H319)</f>
        <v/>
      </c>
      <c r="AI17" s="39" t="str">
        <f>IF('Seznam zápasů'!I319="","",'Seznam zápasů'!I319)</f>
        <v/>
      </c>
      <c r="AJ17" s="39" t="str">
        <f ca="1">IF('Seznam zápasů'!J319="","",'Seznam zápasů'!J319)</f>
        <v>Nadcházející</v>
      </c>
      <c r="AK17" s="42">
        <f>IF('Seznam zápasů'!A320="","",'Seznam zápasů'!A320)</f>
        <v>46439</v>
      </c>
      <c r="AL17" s="39" t="str">
        <f>IF('Seznam zápasů'!B320="","",'Seznam zápasů'!B320)</f>
        <v>Ne</v>
      </c>
      <c r="AM17" s="39" t="str">
        <f>IF('Seznam zápasů'!D320="","",'Seznam zápasů'!D320)</f>
        <v>SBLŽ</v>
      </c>
      <c r="AN17" s="39" t="str">
        <f>IF('Seznam zápasů'!E320="","",'Seznam zápasů'!E320)</f>
        <v>BK Kralupy Junior</v>
      </c>
      <c r="AO17" s="45" t="str">
        <f>IF('Seznam zápasů'!F320="","",'Seznam zápasů'!F320)</f>
        <v>064</v>
      </c>
      <c r="AP17" s="39" t="str">
        <f>IF('Seznam zápasů'!G320="","",'Seznam zápasů'!G320)</f>
        <v/>
      </c>
      <c r="AQ17" s="39" t="str">
        <f>IF('Seznam zápasů'!H320="","",'Seznam zápasů'!H320)</f>
        <v/>
      </c>
      <c r="AR17" s="39" t="str">
        <f>IF('Seznam zápasů'!I320="","",'Seznam zápasů'!I320)</f>
        <v/>
      </c>
      <c r="AS17" s="39" t="str">
        <f ca="1">IF('Seznam zápasů'!J320="","",'Seznam zápasů'!J320)</f>
        <v>Nadcházející</v>
      </c>
      <c r="BC17" s="42">
        <f>IF('Seznam zápasů'!A269="","",'Seznam zápasů'!A269)</f>
        <v>46424</v>
      </c>
      <c r="BD17" s="39" t="str">
        <f>IF('Seznam zápasů'!B269="","",'Seznam zápasů'!B269)</f>
        <v>So</v>
      </c>
      <c r="BE17" s="39" t="str">
        <f>IF('Seznam zápasů'!D269="","",'Seznam zápasů'!D269)</f>
        <v>nadreg. liga</v>
      </c>
      <c r="BF17" s="39" t="str">
        <f>IF('Seznam zápasů'!E269="","",'Seznam zápasů'!E269)</f>
        <v>AŠ Mladá Boleslav</v>
      </c>
      <c r="BG17" s="45" t="str">
        <f>IF('Seznam zápasů'!F269="","",'Seznam zápasů'!F269)</f>
        <v>17196</v>
      </c>
      <c r="BH17" s="39" t="str">
        <f>IF('Seznam zápasů'!G269="","",'Seznam zápasů'!G269)</f>
        <v/>
      </c>
      <c r="BI17" s="39" t="str">
        <f>IF('Seznam zápasů'!H269="","",'Seznam zápasů'!H269)</f>
        <v/>
      </c>
      <c r="BJ17" s="39" t="str">
        <f>IF('Seznam zápasů'!I269="","",'Seznam zápasů'!I269)</f>
        <v/>
      </c>
      <c r="BK17" s="39" t="str">
        <f ca="1">IF('Seznam zápasů'!J269="","",'Seznam zápasů'!J269)</f>
        <v>Nadcházející</v>
      </c>
      <c r="BL17" s="42">
        <f>IF('Seznam zápasů'!A270="","",'Seznam zápasů'!A270)</f>
        <v>46424</v>
      </c>
      <c r="BM17" s="39" t="str">
        <f>IF('Seznam zápasů'!B270="","",'Seznam zápasů'!B270)</f>
        <v>So</v>
      </c>
      <c r="BN17" s="39" t="str">
        <f>IF('Seznam zápasů'!D270="","",'Seznam zápasů'!D270)</f>
        <v>celostátní liga</v>
      </c>
      <c r="BO17" s="39" t="str">
        <f>IF('Seznam zápasů'!E270="","",'Seznam zápasů'!E270)</f>
        <v>F1, S1</v>
      </c>
      <c r="BP17" s="45" t="str">
        <f>IF('Seznam zápasů'!F270="","",'Seznam zápasů'!F270)</f>
        <v/>
      </c>
      <c r="BQ17" s="39" t="str">
        <f>IF('Seznam zápasů'!G270="","",'Seznam zápasů'!G270)</f>
        <v/>
      </c>
      <c r="BR17" s="39" t="str">
        <f>IF('Seznam zápasů'!H270="","",'Seznam zápasů'!H270)</f>
        <v/>
      </c>
      <c r="BS17" s="39" t="str">
        <f>IF('Seznam zápasů'!I270="","",'Seznam zápasů'!I270)</f>
        <v/>
      </c>
      <c r="BT17" s="39" t="str">
        <f ca="1">IF('Seznam zápasů'!J270="","",'Seznam zápasů'!J270)</f>
        <v>Nadcházející</v>
      </c>
      <c r="BU17" s="42">
        <f>IF('Seznam zápasů'!A271="","",'Seznam zápasů'!A271)</f>
        <v>46424</v>
      </c>
      <c r="BV17" s="39" t="str">
        <f>IF('Seznam zápasů'!B271="","",'Seznam zápasů'!B271)</f>
        <v>So</v>
      </c>
      <c r="BW17" s="39" t="str">
        <f>IF('Seznam zápasů'!D271="","",'Seznam zápasů'!D271)</f>
        <v>nadreg. liga</v>
      </c>
      <c r="BX17" s="39" t="str">
        <f>IF('Seznam zápasů'!E271="","",'Seznam zápasů'!E271)</f>
        <v>Sokol Nusle B</v>
      </c>
      <c r="BY17" s="45" t="str">
        <f>IF('Seznam zápasů'!F271="","",'Seznam zápasů'!F271)</f>
        <v>17620</v>
      </c>
      <c r="BZ17" s="39" t="str">
        <f>IF('Seznam zápasů'!G271="","",'Seznam zápasů'!G271)</f>
        <v/>
      </c>
      <c r="CA17" s="39" t="str">
        <f>IF('Seznam zápasů'!H271="","",'Seznam zápasů'!H271)</f>
        <v/>
      </c>
      <c r="CB17" s="39" t="str">
        <f>IF('Seznam zápasů'!I271="","",'Seznam zápasů'!I271)</f>
        <v/>
      </c>
      <c r="CC17" s="39" t="str">
        <f ca="1">IF('Seznam zápasů'!J271="","",'Seznam zápasů'!J271)</f>
        <v>Nadcházející</v>
      </c>
      <c r="CD17" s="42">
        <f>IF('Seznam zápasů'!A295="","",'Seznam zápasů'!A295)</f>
        <v>46431</v>
      </c>
      <c r="CE17" s="39" t="str">
        <f>IF('Seznam zápasů'!B295="","",'Seznam zápasů'!B295)</f>
        <v>So</v>
      </c>
      <c r="CF17" s="39" t="str">
        <f>IF('Seznam zápasů'!D295="","",'Seznam zápasů'!D295)</f>
        <v>žákovská liga</v>
      </c>
      <c r="CG17" s="39" t="str">
        <f>IF('Seznam zápasů'!E295="","",'Seznam zápasů'!E295)</f>
        <v>F1, S1</v>
      </c>
      <c r="CH17" s="45" t="str">
        <f>IF('Seznam zápasů'!F295="","",'Seznam zápasů'!F295)</f>
        <v/>
      </c>
      <c r="CI17" s="39" t="str">
        <f>IF('Seznam zápasů'!G295="","",'Seznam zápasů'!G295)</f>
        <v/>
      </c>
      <c r="CJ17" s="39" t="str">
        <f>IF('Seznam zápasů'!H295="","",'Seznam zápasů'!H295)</f>
        <v/>
      </c>
      <c r="CK17" s="39" t="str">
        <f>IF('Seznam zápasů'!I295="","",'Seznam zápasů'!I295)</f>
        <v/>
      </c>
      <c r="CL17" s="39" t="str">
        <f ca="1">IF('Seznam zápasů'!J295="","",'Seznam zápasů'!J295)</f>
        <v>Nadcházející</v>
      </c>
      <c r="CM17" s="42">
        <f>IF('Seznam zápasů'!A296="","",'Seznam zápasů'!A296)</f>
        <v>46431</v>
      </c>
      <c r="CN17" s="39" t="str">
        <f>IF('Seznam zápasů'!B296="","",'Seznam zápasů'!B296)</f>
        <v>So</v>
      </c>
      <c r="CO17" s="39" t="str">
        <f>IF('Seznam zápasů'!D296="","",'Seznam zápasů'!D296)</f>
        <v>žákovská liga</v>
      </c>
      <c r="CP17" s="39" t="str">
        <f>IF('Seznam zápasů'!E296="","",'Seznam zápasů'!E296)</f>
        <v>F1, S1</v>
      </c>
      <c r="CQ17" s="45" t="str">
        <f>IF('Seznam zápasů'!F296="","",'Seznam zápasů'!F296)</f>
        <v/>
      </c>
      <c r="CR17" s="39" t="str">
        <f>IF('Seznam zápasů'!G296="","",'Seznam zápasů'!G296)</f>
        <v/>
      </c>
      <c r="CS17" s="39" t="str">
        <f>IF('Seznam zápasů'!H296="","",'Seznam zápasů'!H296)</f>
        <v/>
      </c>
      <c r="CT17" s="39" t="str">
        <f>IF('Seznam zápasů'!I296="","",'Seznam zápasů'!I296)</f>
        <v/>
      </c>
      <c r="CU17" s="39" t="str">
        <f ca="1">IF('Seznam zápasů'!J296="","",'Seznam zápasů'!J296)</f>
        <v>Nadcházející</v>
      </c>
      <c r="CV17" s="42">
        <f>IF('Seznam zápasů'!A324="","",'Seznam zápasů'!A324)</f>
        <v>46445</v>
      </c>
      <c r="CW17" s="39" t="str">
        <f>IF('Seznam zápasů'!B324="","",'Seznam zápasů'!B324)</f>
        <v>So</v>
      </c>
      <c r="CX17" s="39" t="str">
        <f>IF('Seznam zápasů'!D324="","",'Seznam zápasů'!D324)</f>
        <v>nadreg. Liga</v>
      </c>
      <c r="CY17" s="39" t="str">
        <f>IF('Seznam zápasů'!E324="","",'Seznam zápasů'!E324)</f>
        <v>Sokol Nusle B</v>
      </c>
      <c r="CZ17" s="45" t="str">
        <f>IF('Seznam zápasů'!F324="","",'Seznam zápasů'!F324)</f>
        <v>105</v>
      </c>
      <c r="DA17" s="39" t="str">
        <f>IF('Seznam zápasů'!G324="","",'Seznam zápasů'!G324)</f>
        <v/>
      </c>
      <c r="DB17" s="39" t="str">
        <f>IF('Seznam zápasů'!H324="","",'Seznam zápasů'!H324)</f>
        <v/>
      </c>
      <c r="DC17" s="39" t="str">
        <f>IF('Seznam zápasů'!I324="","",'Seznam zápasů'!I324)</f>
        <v/>
      </c>
      <c r="DD17" s="39" t="str">
        <f ca="1">IF('Seznam zápasů'!J324="","",'Seznam zápasů'!J324)</f>
        <v>Nadcházející</v>
      </c>
      <c r="DE17" s="42">
        <f>IF('Seznam zápasů'!A268="","",'Seznam zápasů'!A268)</f>
        <v>46414</v>
      </c>
      <c r="DF17" s="39" t="str">
        <f>IF('Seznam zápasů'!B268="","",'Seznam zápasů'!B268)</f>
        <v>St</v>
      </c>
      <c r="DG17" s="39" t="str">
        <f>IF('Seznam zápasů'!D268="","",'Seznam zápasů'!D268)</f>
        <v>žákovská liga</v>
      </c>
      <c r="DH17" s="39" t="str">
        <f>IF('Seznam zápasů'!E268="","",'Seznam zápasů'!E268)</f>
        <v>FD, SD</v>
      </c>
      <c r="DI17" s="45" t="str">
        <f>IF('Seznam zápasů'!F268="","",'Seznam zápasů'!F268)</f>
        <v/>
      </c>
      <c r="DJ17" s="39" t="str">
        <f>IF('Seznam zápasů'!G268="","",'Seznam zápasů'!G268)</f>
        <v/>
      </c>
      <c r="DK17" s="39" t="str">
        <f>IF('Seznam zápasů'!H268="","",'Seznam zápasů'!H268)</f>
        <v/>
      </c>
      <c r="DL17" s="39" t="str">
        <f>IF('Seznam zápasů'!I268="","",'Seznam zápasů'!I268)</f>
        <v/>
      </c>
      <c r="DM17" s="39" t="str">
        <f ca="1">IF('Seznam zápasů'!J268="","",'Seznam zápasů'!J268)</f>
        <v>Nadcházející</v>
      </c>
      <c r="DN17" s="42">
        <f>IF('Seznam zápasů'!A287="","",'Seznam zápasů'!A287)</f>
        <v>46425</v>
      </c>
      <c r="DO17" s="39" t="str">
        <f>IF('Seznam zápasů'!B287="","",'Seznam zápasů'!B287)</f>
        <v>Ne</v>
      </c>
      <c r="DP17" s="39" t="str">
        <f>IF('Seznam zápasů'!D287="","",'Seznam zápasů'!D287)</f>
        <v>žákovská liga</v>
      </c>
      <c r="DQ17" s="39" t="str">
        <f>IF('Seznam zápasů'!E287="","",'Seznam zápasů'!E287)</f>
        <v>F2, S2</v>
      </c>
      <c r="DR17" s="45" t="str">
        <f>IF('Seznam zápasů'!F287="","",'Seznam zápasů'!F287)</f>
        <v/>
      </c>
      <c r="DS17" s="39" t="str">
        <f>IF('Seznam zápasů'!G287="","",'Seznam zápasů'!G287)</f>
        <v/>
      </c>
      <c r="DT17" s="39" t="str">
        <f>IF('Seznam zápasů'!H287="","",'Seznam zápasů'!H287)</f>
        <v/>
      </c>
      <c r="DU17" s="39" t="str">
        <f>IF('Seznam zápasů'!I287="","",'Seznam zápasů'!I287)</f>
        <v/>
      </c>
      <c r="DV17" s="39" t="str">
        <f ca="1">IF('Seznam zápasů'!J287="","",'Seznam zápasů'!J287)</f>
        <v>Nadcházející</v>
      </c>
      <c r="EF17" s="42">
        <f>IF('Seznam zápasů'!A357="","",'Seznam zápasů'!A357)</f>
        <v>46466</v>
      </c>
      <c r="EG17" s="39" t="str">
        <f>IF('Seznam zápasů'!B357="","",'Seznam zápasů'!B357)</f>
        <v>So</v>
      </c>
      <c r="EH17" s="39" t="str">
        <f>IF('Seznam zápasů'!D357="","",'Seznam zápasů'!D357)</f>
        <v>KP + kval. o NF</v>
      </c>
      <c r="EI17" s="39" t="str">
        <f>IF('Seznam zápasů'!E357="","",'Seznam zápasů'!E357)</f>
        <v>Basket Poděbrady</v>
      </c>
      <c r="EJ17" s="45" t="str">
        <f>IF('Seznam zápasů'!F357="","",'Seznam zápasů'!F357)</f>
        <v>049</v>
      </c>
      <c r="EK17" s="39" t="str">
        <f>IF('Seznam zápasů'!G357="","",'Seznam zápasů'!G357)</f>
        <v/>
      </c>
      <c r="EL17" s="39" t="str">
        <f>IF('Seznam zápasů'!H357="","",'Seznam zápasů'!H357)</f>
        <v/>
      </c>
      <c r="EM17" s="39" t="str">
        <f>IF('Seznam zápasů'!I357="","",'Seznam zápasů'!I357)</f>
        <v/>
      </c>
      <c r="EN17" s="39" t="str">
        <f ca="1">IF('Seznam zápasů'!J357="","",'Seznam zápasů'!J357)</f>
        <v>Nadcházející</v>
      </c>
      <c r="FP17" s="42">
        <f>IF('Seznam zápasů'!A256="","",'Seznam zápasů'!A256)</f>
        <v>46410</v>
      </c>
      <c r="FQ17" s="39" t="str">
        <f>IF('Seznam zápasů'!B256="","",'Seznam zápasů'!B256)</f>
        <v>So</v>
      </c>
      <c r="FR17" s="39" t="str">
        <f>IF('Seznam zápasů'!D256="","",'Seznam zápasů'!D256)</f>
        <v>KP + kval. o NF</v>
      </c>
      <c r="FS17" s="39" t="str">
        <f>IF('Seznam zápasů'!E256="","",'Seznam zápasů'!E256)</f>
        <v>Sokol Nehvizdy</v>
      </c>
      <c r="FT17" s="45" t="str">
        <f>IF('Seznam zápasů'!F256="","",'Seznam zápasů'!F256)</f>
        <v>078</v>
      </c>
      <c r="FU17" s="39" t="str">
        <f>IF('Seznam zápasů'!G256="","",'Seznam zápasů'!G256)</f>
        <v/>
      </c>
      <c r="FV17" s="39" t="str">
        <f>IF('Seznam zápasů'!H256="","",'Seznam zápasů'!H256)</f>
        <v/>
      </c>
      <c r="FW17" s="39" t="str">
        <f>IF('Seznam zápasů'!I256="","",'Seznam zápasů'!I256)</f>
        <v/>
      </c>
      <c r="FX17" s="39" t="str">
        <f ca="1">IF('Seznam zápasů'!J256="","",'Seznam zápasů'!J256)</f>
        <v>Nadcházející</v>
      </c>
    </row>
    <row r="18" spans="1:180" x14ac:dyDescent="0.2">
      <c r="A18" s="42">
        <f>IF('Seznam zápasů'!A285="","",'Seznam zápasů'!A285)</f>
        <v>46425</v>
      </c>
      <c r="B18" s="39" t="str">
        <f>IF('Seznam zápasů'!B285="","",'Seznam zápasů'!B285)</f>
        <v>Ne</v>
      </c>
      <c r="C18" s="39" t="str">
        <f>IF('Seznam zápasů'!D285="","",'Seznam zápasů'!D285)</f>
        <v>SBLM</v>
      </c>
      <c r="D18" s="39" t="str">
        <f>IF('Seznam zápasů'!E285="","",'Seznam zápasů'!E285)</f>
        <v>BK Brandýs n.L. "B"</v>
      </c>
      <c r="E18" s="45" t="str">
        <f>IF('Seznam zápasů'!F285="","",'Seznam zápasů'!F285)</f>
        <v>096</v>
      </c>
      <c r="F18" s="39" t="str">
        <f>IF('Seznam zápasů'!G285="","",'Seznam zápasů'!G285)</f>
        <v/>
      </c>
      <c r="G18" s="39" t="str">
        <f>IF('Seznam zápasů'!H285="","",'Seznam zápasů'!H285)</f>
        <v/>
      </c>
      <c r="H18" s="39" t="str">
        <f>IF('Seznam zápasů'!I285="","",'Seznam zápasů'!I285)</f>
        <v/>
      </c>
      <c r="I18" s="39" t="str">
        <f ca="1">IF('Seznam zápasů'!J285="","",'Seznam zápasů'!J285)</f>
        <v>Nadcházející</v>
      </c>
      <c r="J18" s="42">
        <f>IF('Seznam zápasů'!A365="","",'Seznam zápasů'!A365)</f>
        <v>46467</v>
      </c>
      <c r="K18" s="39" t="str">
        <f>IF('Seznam zápasů'!B365="","",'Seznam zápasů'!B365)</f>
        <v>Ne</v>
      </c>
      <c r="L18" s="39" t="str">
        <f>IF('Seznam zápasů'!D365="","",'Seznam zápasů'!D365)</f>
        <v>KP</v>
      </c>
      <c r="M18" s="39" t="str">
        <f>IF('Seznam zápasů'!E365="","",'Seznam zápasů'!E365)</f>
        <v>TJ TZ Rakovník</v>
      </c>
      <c r="N18" s="45" t="str">
        <f>IF('Seznam zápasů'!F365="","",'Seznam zápasů'!F365)</f>
        <v>072</v>
      </c>
      <c r="O18" s="39" t="str">
        <f>IF('Seznam zápasů'!G365="","",'Seznam zápasů'!G365)</f>
        <v/>
      </c>
      <c r="P18" s="39" t="str">
        <f>IF('Seznam zápasů'!H365="","",'Seznam zápasů'!H365)</f>
        <v/>
      </c>
      <c r="Q18" s="39" t="str">
        <f>IF('Seznam zápasů'!I365="","",'Seznam zápasů'!I365)</f>
        <v/>
      </c>
      <c r="R18" s="39" t="str">
        <f ca="1">IF('Seznam zápasů'!J365="","",'Seznam zápasů'!J365)</f>
        <v>Nadcházející</v>
      </c>
      <c r="S18" s="42">
        <f>IF('Seznam zápasů'!A415="","",'Seznam zápasů'!A415)</f>
        <v>46495</v>
      </c>
      <c r="T18" s="39" t="str">
        <f>IF('Seznam zápasů'!B415="","",'Seznam zápasů'!B415)</f>
        <v>Ne</v>
      </c>
      <c r="U18" s="39" t="str">
        <f>IF('Seznam zápasů'!D415="","",'Seznam zápasů'!D415)</f>
        <v>II. Liga</v>
      </c>
      <c r="V18" s="39" t="str">
        <f>IF('Seznam zápasů'!E415="","",'Seznam zápasů'!E415)</f>
        <v>SF</v>
      </c>
      <c r="W18" s="45" t="str">
        <f>IF('Seznam zápasů'!F415="","",'Seznam zápasů'!F415)</f>
        <v/>
      </c>
      <c r="X18" s="39" t="str">
        <f>IF('Seznam zápasů'!G415="","",'Seznam zápasů'!G415)</f>
        <v/>
      </c>
      <c r="Y18" s="39" t="str">
        <f>IF('Seznam zápasů'!H415="","",'Seznam zápasů'!H415)</f>
        <v/>
      </c>
      <c r="Z18" s="39" t="str">
        <f>IF('Seznam zápasů'!I415="","",'Seznam zápasů'!I415)</f>
        <v/>
      </c>
      <c r="AA18" s="39" t="str">
        <f ca="1">IF('Seznam zápasů'!J415="","",'Seznam zápasů'!J415)</f>
        <v>Nadcházející</v>
      </c>
      <c r="AB18" s="42">
        <f>IF('Seznam zápasů'!A353="","",'Seznam zápasů'!A353)</f>
        <v>46460</v>
      </c>
      <c r="AC18" s="39" t="str">
        <f>IF('Seznam zápasů'!B353="","",'Seznam zápasů'!B353)</f>
        <v>Ne</v>
      </c>
      <c r="AD18" s="39" t="str">
        <f>IF('Seznam zápasů'!D353="","",'Seznam zápasů'!D353)</f>
        <v>SBLŽ</v>
      </c>
      <c r="AE18" s="39" t="str">
        <f>IF('Seznam zápasů'!E353="","",'Seznam zápasů'!E353)</f>
        <v>BC Benešov "C"</v>
      </c>
      <c r="AF18" s="45" t="str">
        <f>IF('Seznam zápasů'!F353="","",'Seznam zápasů'!F353)</f>
        <v>069</v>
      </c>
      <c r="AG18" s="39" t="str">
        <f>IF('Seznam zápasů'!G353="","",'Seznam zápasů'!G353)</f>
        <v/>
      </c>
      <c r="AH18" s="39" t="str">
        <f>IF('Seznam zápasů'!H353="","",'Seznam zápasů'!H353)</f>
        <v/>
      </c>
      <c r="AI18" s="39" t="str">
        <f>IF('Seznam zápasů'!I353="","",'Seznam zápasů'!I353)</f>
        <v/>
      </c>
      <c r="AJ18" s="39" t="str">
        <f ca="1">IF('Seznam zápasů'!J353="","",'Seznam zápasů'!J353)</f>
        <v>Nadcházející</v>
      </c>
      <c r="AK18" s="42">
        <f>IF('Seznam zápasů'!A354="","",'Seznam zápasů'!A354)</f>
        <v>46460</v>
      </c>
      <c r="AL18" s="39" t="str">
        <f>IF('Seznam zápasů'!B354="","",'Seznam zápasů'!B354)</f>
        <v>Ne</v>
      </c>
      <c r="AM18" s="39" t="str">
        <f>IF('Seznam zápasů'!D354="","",'Seznam zápasů'!D354)</f>
        <v>SBLŽ</v>
      </c>
      <c r="AN18" s="39" t="str">
        <f>IF('Seznam zápasů'!E354="","",'Seznam zápasů'!E354)</f>
        <v>BC Benešov "B"</v>
      </c>
      <c r="AO18" s="45" t="str">
        <f>IF('Seznam zápasů'!F354="","",'Seznam zápasů'!F354)</f>
        <v>069</v>
      </c>
      <c r="AP18" s="39" t="str">
        <f>IF('Seznam zápasů'!G354="","",'Seznam zápasů'!G354)</f>
        <v/>
      </c>
      <c r="AQ18" s="39" t="str">
        <f>IF('Seznam zápasů'!H354="","",'Seznam zápasů'!H354)</f>
        <v/>
      </c>
      <c r="AR18" s="39" t="str">
        <f>IF('Seznam zápasů'!I354="","",'Seznam zápasů'!I354)</f>
        <v/>
      </c>
      <c r="AS18" s="39" t="str">
        <f ca="1">IF('Seznam zápasů'!J354="","",'Seznam zápasů'!J354)</f>
        <v>Nadcházející</v>
      </c>
      <c r="BC18" s="42">
        <f>IF('Seznam zápasů'!A282="","",'Seznam zápasů'!A282)</f>
        <v>46425</v>
      </c>
      <c r="BD18" s="39" t="str">
        <f>IF('Seznam zápasů'!B282="","",'Seznam zápasů'!B282)</f>
        <v>Ne</v>
      </c>
      <c r="BE18" s="39" t="str">
        <f>IF('Seznam zápasů'!D282="","",'Seznam zápasů'!D282)</f>
        <v>nadreg. liga</v>
      </c>
      <c r="BF18" s="39" t="str">
        <f>IF('Seznam zápasů'!E282="","",'Seznam zápasů'!E282)</f>
        <v>Basket Poděbrady B</v>
      </c>
      <c r="BG18" s="45" t="str">
        <f>IF('Seznam zápasů'!F282="","",'Seznam zápasů'!F282)</f>
        <v>17202</v>
      </c>
      <c r="BH18" s="39" t="str">
        <f>IF('Seznam zápasů'!G282="","",'Seznam zápasů'!G282)</f>
        <v/>
      </c>
      <c r="BI18" s="39" t="str">
        <f>IF('Seznam zápasů'!H282="","",'Seznam zápasů'!H282)</f>
        <v/>
      </c>
      <c r="BJ18" s="39" t="str">
        <f>IF('Seznam zápasů'!I282="","",'Seznam zápasů'!I282)</f>
        <v/>
      </c>
      <c r="BK18" s="39" t="str">
        <f ca="1">IF('Seznam zápasů'!J282="","",'Seznam zápasů'!J282)</f>
        <v>Nadcházející</v>
      </c>
      <c r="BL18" s="42">
        <f>IF('Seznam zápasů'!A283="","",'Seznam zápasů'!A283)</f>
        <v>46425</v>
      </c>
      <c r="BM18" s="39" t="str">
        <f>IF('Seznam zápasů'!B283="","",'Seznam zápasů'!B283)</f>
        <v>Ne</v>
      </c>
      <c r="BN18" s="39" t="str">
        <f>IF('Seznam zápasů'!D283="","",'Seznam zápasů'!D283)</f>
        <v>celostátní liga</v>
      </c>
      <c r="BO18" s="39" t="str">
        <f>IF('Seznam zápasů'!E283="","",'Seznam zápasů'!E283)</f>
        <v>F1, S1</v>
      </c>
      <c r="BP18" s="45" t="str">
        <f>IF('Seznam zápasů'!F283="","",'Seznam zápasů'!F283)</f>
        <v/>
      </c>
      <c r="BQ18" s="39" t="str">
        <f>IF('Seznam zápasů'!G283="","",'Seznam zápasů'!G283)</f>
        <v/>
      </c>
      <c r="BR18" s="39" t="str">
        <f>IF('Seznam zápasů'!H283="","",'Seznam zápasů'!H283)</f>
        <v/>
      </c>
      <c r="BS18" s="39" t="str">
        <f>IF('Seznam zápasů'!I283="","",'Seznam zápasů'!I283)</f>
        <v/>
      </c>
      <c r="BT18" s="39" t="str">
        <f ca="1">IF('Seznam zápasů'!J283="","",'Seznam zápasů'!J283)</f>
        <v>Nadcházející</v>
      </c>
      <c r="BU18" s="42">
        <f>IF('Seznam zápasů'!A284="","",'Seznam zápasů'!A284)</f>
        <v>46425</v>
      </c>
      <c r="BV18" s="39" t="str">
        <f>IF('Seznam zápasů'!B284="","",'Seznam zápasů'!B284)</f>
        <v>Ne</v>
      </c>
      <c r="BW18" s="39" t="str">
        <f>IF('Seznam zápasů'!D284="","",'Seznam zápasů'!D284)</f>
        <v>nadreg. liga</v>
      </c>
      <c r="BX18" s="39" t="str">
        <f>IF('Seznam zápasů'!E284="","",'Seznam zápasů'!E284)</f>
        <v>Porg Basket</v>
      </c>
      <c r="BY18" s="45" t="str">
        <f>IF('Seznam zápasů'!F284="","",'Seznam zápasů'!F284)</f>
        <v>17626</v>
      </c>
      <c r="BZ18" s="39" t="str">
        <f>IF('Seznam zápasů'!G284="","",'Seznam zápasů'!G284)</f>
        <v/>
      </c>
      <c r="CA18" s="39" t="str">
        <f>IF('Seznam zápasů'!H284="","",'Seznam zápasů'!H284)</f>
        <v/>
      </c>
      <c r="CB18" s="39" t="str">
        <f>IF('Seznam zápasů'!I284="","",'Seznam zápasů'!I284)</f>
        <v/>
      </c>
      <c r="CC18" s="39" t="str">
        <f ca="1">IF('Seznam zápasů'!J284="","",'Seznam zápasů'!J284)</f>
        <v>Nadcházející</v>
      </c>
      <c r="CD18" s="42">
        <f>IF('Seznam zápasů'!A299="","",'Seznam zápasů'!A299)</f>
        <v>46432</v>
      </c>
      <c r="CE18" s="39" t="str">
        <f>IF('Seznam zápasů'!B299="","",'Seznam zápasů'!B299)</f>
        <v>Ne</v>
      </c>
      <c r="CF18" s="39" t="str">
        <f>IF('Seznam zápasů'!D299="","",'Seznam zápasů'!D299)</f>
        <v>žákovská liga</v>
      </c>
      <c r="CG18" s="39" t="str">
        <f>IF('Seznam zápasů'!E299="","",'Seznam zápasů'!E299)</f>
        <v>F1, S1</v>
      </c>
      <c r="CH18" s="45" t="str">
        <f>IF('Seznam zápasů'!F299="","",'Seznam zápasů'!F299)</f>
        <v/>
      </c>
      <c r="CI18" s="39" t="str">
        <f>IF('Seznam zápasů'!G299="","",'Seznam zápasů'!G299)</f>
        <v/>
      </c>
      <c r="CJ18" s="39" t="str">
        <f>IF('Seznam zápasů'!H299="","",'Seznam zápasů'!H299)</f>
        <v/>
      </c>
      <c r="CK18" s="39" t="str">
        <f>IF('Seznam zápasů'!I299="","",'Seznam zápasů'!I299)</f>
        <v/>
      </c>
      <c r="CL18" s="39" t="str">
        <f ca="1">IF('Seznam zápasů'!J299="","",'Seznam zápasů'!J299)</f>
        <v>Nadcházející</v>
      </c>
      <c r="CM18" s="42">
        <f>IF('Seznam zápasů'!A300="","",'Seznam zápasů'!A300)</f>
        <v>46432</v>
      </c>
      <c r="CN18" s="39" t="str">
        <f>IF('Seznam zápasů'!B300="","",'Seznam zápasů'!B300)</f>
        <v>Ne</v>
      </c>
      <c r="CO18" s="39" t="str">
        <f>IF('Seznam zápasů'!D300="","",'Seznam zápasů'!D300)</f>
        <v>žákovská liga</v>
      </c>
      <c r="CP18" s="39" t="str">
        <f>IF('Seznam zápasů'!E300="","",'Seznam zápasů'!E300)</f>
        <v>F1, S1</v>
      </c>
      <c r="CQ18" s="45" t="str">
        <f>IF('Seznam zápasů'!F300="","",'Seznam zápasů'!F300)</f>
        <v/>
      </c>
      <c r="CR18" s="39" t="str">
        <f>IF('Seznam zápasů'!G300="","",'Seznam zápasů'!G300)</f>
        <v/>
      </c>
      <c r="CS18" s="39" t="str">
        <f>IF('Seznam zápasů'!H300="","",'Seznam zápasů'!H300)</f>
        <v/>
      </c>
      <c r="CT18" s="39" t="str">
        <f>IF('Seznam zápasů'!I300="","",'Seznam zápasů'!I300)</f>
        <v/>
      </c>
      <c r="CU18" s="39" t="str">
        <f ca="1">IF('Seznam zápasů'!J300="","",'Seznam zápasů'!J300)</f>
        <v>Nadcházející</v>
      </c>
      <c r="CV18" s="42">
        <f>IF('Seznam zápasů'!A327="","",'Seznam zápasů'!A327)</f>
        <v>46446</v>
      </c>
      <c r="CW18" s="39" t="str">
        <f>IF('Seznam zápasů'!B327="","",'Seznam zápasů'!B327)</f>
        <v>Ne</v>
      </c>
      <c r="CX18" s="39" t="str">
        <f>IF('Seznam zápasů'!D327="","",'Seznam zápasů'!D327)</f>
        <v>nadreg. Liga</v>
      </c>
      <c r="CY18" s="39" t="str">
        <f>IF('Seznam zápasů'!E327="","",'Seznam zápasů'!E327)</f>
        <v>Basket Říčany</v>
      </c>
      <c r="CZ18" s="45" t="str">
        <f>IF('Seznam zápasů'!F327="","",'Seznam zápasů'!F327)</f>
        <v>110</v>
      </c>
      <c r="DA18" s="39" t="str">
        <f>IF('Seznam zápasů'!G327="","",'Seznam zápasů'!G327)</f>
        <v/>
      </c>
      <c r="DB18" s="39" t="str">
        <f>IF('Seznam zápasů'!H327="","",'Seznam zápasů'!H327)</f>
        <v/>
      </c>
      <c r="DC18" s="39" t="str">
        <f>IF('Seznam zápasů'!I327="","",'Seznam zápasů'!I327)</f>
        <v/>
      </c>
      <c r="DD18" s="39" t="str">
        <f ca="1">IF('Seznam zápasů'!J327="","",'Seznam zápasů'!J327)</f>
        <v>Nadcházející</v>
      </c>
      <c r="DE18" s="42">
        <f>IF('Seznam zápasů'!A277="","",'Seznam zápasů'!A277)</f>
        <v>46424</v>
      </c>
      <c r="DF18" s="39" t="str">
        <f>IF('Seznam zápasů'!B277="","",'Seznam zápasů'!B277)</f>
        <v>So</v>
      </c>
      <c r="DG18" s="39" t="str">
        <f>IF('Seznam zápasů'!D277="","",'Seznam zápasů'!D277)</f>
        <v>žákovská liga</v>
      </c>
      <c r="DH18" s="39" t="str">
        <f>IF('Seznam zápasů'!E277="","",'Seznam zápasů'!E277)</f>
        <v>F2, S2</v>
      </c>
      <c r="DI18" s="45" t="str">
        <f>IF('Seznam zápasů'!F277="","",'Seznam zápasů'!F277)</f>
        <v/>
      </c>
      <c r="DJ18" s="39" t="str">
        <f>IF('Seznam zápasů'!G277="","",'Seznam zápasů'!G277)</f>
        <v/>
      </c>
      <c r="DK18" s="39" t="str">
        <f>IF('Seznam zápasů'!H277="","",'Seznam zápasů'!H277)</f>
        <v/>
      </c>
      <c r="DL18" s="39" t="str">
        <f>IF('Seznam zápasů'!I277="","",'Seznam zápasů'!I277)</f>
        <v/>
      </c>
      <c r="DM18" s="39" t="str">
        <f ca="1">IF('Seznam zápasů'!J277="","",'Seznam zápasů'!J277)</f>
        <v>Nadcházející</v>
      </c>
      <c r="DN18" s="42">
        <f>IF('Seznam zápasů'!A310="","",'Seznam zápasů'!A310)</f>
        <v>46438</v>
      </c>
      <c r="DO18" s="39" t="str">
        <f>IF('Seznam zápasů'!B310="","",'Seznam zápasů'!B310)</f>
        <v>So</v>
      </c>
      <c r="DP18" s="39" t="str">
        <f>IF('Seznam zápasů'!D310="","",'Seznam zápasů'!D310)</f>
        <v>žákovská liga</v>
      </c>
      <c r="DQ18" s="39" t="str">
        <f>IF('Seznam zápasů'!E310="","",'Seznam zápasů'!E310)</f>
        <v>F3, S3</v>
      </c>
      <c r="DR18" s="45" t="str">
        <f>IF('Seznam zápasů'!F310="","",'Seznam zápasů'!F310)</f>
        <v/>
      </c>
      <c r="DS18" s="39" t="str">
        <f>IF('Seznam zápasů'!G310="","",'Seznam zápasů'!G310)</f>
        <v/>
      </c>
      <c r="DT18" s="39" t="str">
        <f>IF('Seznam zápasů'!H310="","",'Seznam zápasů'!H310)</f>
        <v/>
      </c>
      <c r="DU18" s="39" t="str">
        <f>IF('Seznam zápasů'!I310="","",'Seznam zápasů'!I310)</f>
        <v/>
      </c>
      <c r="DV18" s="39" t="str">
        <f ca="1">IF('Seznam zápasů'!J310="","",'Seznam zápasů'!J310)</f>
        <v>Nadcházející</v>
      </c>
      <c r="EF18" s="42">
        <f>IF('Seznam zápasů'!A396="","",'Seznam zápasů'!A396)</f>
        <v>46488</v>
      </c>
      <c r="EG18" s="39" t="str">
        <f>IF('Seznam zápasů'!B396="","",'Seznam zápasů'!B396)</f>
        <v>Ne</v>
      </c>
      <c r="EH18" s="39" t="str">
        <f>IF('Seznam zápasů'!D396="","",'Seznam zápasů'!D396)</f>
        <v>KP + kval. o NF</v>
      </c>
      <c r="EI18" s="39" t="str">
        <f>IF('Seznam zápasů'!E396="","",'Seznam zápasů'!E396)</f>
        <v>BK Mělník</v>
      </c>
      <c r="EJ18" s="45" t="str">
        <f>IF('Seznam zápasů'!F396="","",'Seznam zápasů'!F396)</f>
        <v>056</v>
      </c>
      <c r="EK18" s="39" t="str">
        <f>IF('Seznam zápasů'!G396="","",'Seznam zápasů'!G396)</f>
        <v/>
      </c>
      <c r="EL18" s="39" t="str">
        <f>IF('Seznam zápasů'!H396="","",'Seznam zápasů'!H396)</f>
        <v/>
      </c>
      <c r="EM18" s="39" t="str">
        <f>IF('Seznam zápasů'!I396="","",'Seznam zápasů'!I396)</f>
        <v/>
      </c>
      <c r="EN18" s="39" t="str">
        <f ca="1">IF('Seznam zápasů'!J396="","",'Seznam zápasů'!J396)</f>
        <v>Nadcházející</v>
      </c>
      <c r="FP18" s="42">
        <f>IF('Seznam zápasů'!A263="","",'Seznam zápasů'!A263)</f>
        <v>46411</v>
      </c>
      <c r="FQ18" s="39" t="str">
        <f>IF('Seznam zápasů'!B263="","",'Seznam zápasů'!B263)</f>
        <v>Ne</v>
      </c>
      <c r="FR18" s="39" t="str">
        <f>IF('Seznam zápasů'!D263="","",'Seznam zápasů'!D263)</f>
        <v>KP + kval. o NF</v>
      </c>
      <c r="FS18" s="39" t="str">
        <f>IF('Seznam zápasů'!E263="","",'Seznam zápasů'!E263)</f>
        <v>Sokol Nusle</v>
      </c>
      <c r="FT18" s="45" t="str">
        <f>IF('Seznam zápasů'!F263="","",'Seznam zápasů'!F263)</f>
        <v>084</v>
      </c>
      <c r="FU18" s="39" t="str">
        <f>IF('Seznam zápasů'!G263="","",'Seznam zápasů'!G263)</f>
        <v/>
      </c>
      <c r="FV18" s="39" t="str">
        <f>IF('Seznam zápasů'!H263="","",'Seznam zápasů'!H263)</f>
        <v/>
      </c>
      <c r="FW18" s="39" t="str">
        <f>IF('Seznam zápasů'!I263="","",'Seznam zápasů'!I263)</f>
        <v/>
      </c>
      <c r="FX18" s="39" t="str">
        <f ca="1">IF('Seznam zápasů'!J263="","",'Seznam zápasů'!J263)</f>
        <v>Nadcházející</v>
      </c>
    </row>
    <row r="19" spans="1:180" x14ac:dyDescent="0.2">
      <c r="A19" s="42">
        <f>IF('Seznam zápasů'!A308="","",'Seznam zápasů'!A308)</f>
        <v>46438</v>
      </c>
      <c r="B19" s="39" t="str">
        <f>IF('Seznam zápasů'!B308="","",'Seznam zápasů'!B308)</f>
        <v>So</v>
      </c>
      <c r="C19" s="39" t="str">
        <f>IF('Seznam zápasů'!D308="","",'Seznam zápasů'!D308)</f>
        <v>SBLM</v>
      </c>
      <c r="D19" s="39" t="str">
        <f>IF('Seznam zápasů'!E308="","",'Seznam zápasů'!E308)</f>
        <v>Sokol Nové Strašecí</v>
      </c>
      <c r="E19" s="45" t="str">
        <f>IF('Seznam zápasů'!F308="","",'Seznam zápasů'!F308)</f>
        <v>106</v>
      </c>
      <c r="F19" s="39" t="str">
        <f>IF('Seznam zápasů'!G308="","",'Seznam zápasů'!G308)</f>
        <v/>
      </c>
      <c r="G19" s="39" t="str">
        <f>IF('Seznam zápasů'!H308="","",'Seznam zápasů'!H308)</f>
        <v/>
      </c>
      <c r="H19" s="39" t="str">
        <f>IF('Seznam zápasů'!I308="","",'Seznam zápasů'!I308)</f>
        <v/>
      </c>
      <c r="I19" s="39" t="str">
        <f ca="1">IF('Seznam zápasů'!J308="","",'Seznam zápasů'!J308)</f>
        <v>Nadcházející</v>
      </c>
      <c r="J19" s="42">
        <f>IF('Seznam zápasů'!A393="","",'Seznam zápasů'!A393)</f>
        <v>46487</v>
      </c>
      <c r="K19" s="39" t="str">
        <f>IF('Seznam zápasů'!B393="","",'Seznam zápasů'!B393)</f>
        <v>So</v>
      </c>
      <c r="L19" s="39" t="str">
        <f>IF('Seznam zápasů'!D393="","",'Seznam zápasů'!D393)</f>
        <v>KP</v>
      </c>
      <c r="M19" s="39" t="str">
        <f>IF('Seznam zápasů'!E393="","",'Seznam zápasů'!E393)</f>
        <v>ČF</v>
      </c>
      <c r="N19" s="45" t="str">
        <f>IF('Seznam zápasů'!F393="","",'Seznam zápasů'!F393)</f>
        <v/>
      </c>
      <c r="O19" s="39" t="str">
        <f>IF('Seznam zápasů'!G393="","",'Seznam zápasů'!G393)</f>
        <v/>
      </c>
      <c r="P19" s="39" t="str">
        <f>IF('Seznam zápasů'!H393="","",'Seznam zápasů'!H393)</f>
        <v/>
      </c>
      <c r="Q19" s="39" t="str">
        <f>IF('Seznam zápasů'!I393="","",'Seznam zápasů'!I393)</f>
        <v/>
      </c>
      <c r="R19" s="39" t="str">
        <f ca="1">IF('Seznam zápasů'!J393="","",'Seznam zápasů'!J393)</f>
        <v>Nadcházející</v>
      </c>
      <c r="S19" s="42">
        <f>IF('Seznam zápasů'!A427="","",'Seznam zápasů'!A427)</f>
        <v>46508</v>
      </c>
      <c r="T19" s="39" t="str">
        <f>IF('Seznam zápasů'!B427="","",'Seznam zápasů'!B427)</f>
        <v>So</v>
      </c>
      <c r="U19" s="39" t="str">
        <f>IF('Seznam zápasů'!D427="","",'Seznam zápasů'!D427)</f>
        <v>II. Liga</v>
      </c>
      <c r="V19" s="39" t="str">
        <f>IF('Seznam zápasů'!E427="","",'Seznam zápasů'!E427)</f>
        <v>F</v>
      </c>
      <c r="W19" s="45" t="str">
        <f>IF('Seznam zápasů'!F427="","",'Seznam zápasů'!F427)</f>
        <v/>
      </c>
      <c r="X19" s="39" t="str">
        <f>IF('Seznam zápasů'!G427="","",'Seznam zápasů'!G427)</f>
        <v/>
      </c>
      <c r="Y19" s="39" t="str">
        <f>IF('Seznam zápasů'!H427="","",'Seznam zápasů'!H427)</f>
        <v/>
      </c>
      <c r="Z19" s="39" t="str">
        <f>IF('Seznam zápasů'!I427="","",'Seznam zápasů'!I427)</f>
        <v/>
      </c>
      <c r="AA19" s="39" t="str">
        <f ca="1">IF('Seznam zápasů'!J427="","",'Seznam zápasů'!J427)</f>
        <v>Nadcházející</v>
      </c>
      <c r="AB19" s="42">
        <f>IF('Seznam zápasů'!A380="","",'Seznam zápasů'!A380)</f>
        <v>46480</v>
      </c>
      <c r="AC19" s="39" t="str">
        <f>IF('Seznam zápasů'!B380="","",'Seznam zápasů'!B380)</f>
        <v>So</v>
      </c>
      <c r="AD19" s="39" t="str">
        <f>IF('Seznam zápasů'!D380="","",'Seznam zápasů'!D380)</f>
        <v>SBLŽ</v>
      </c>
      <c r="AE19" s="39" t="str">
        <f>IF('Seznam zápasů'!E380="","",'Seznam zápasů'!E380)</f>
        <v>ČF</v>
      </c>
      <c r="AF19" s="45" t="str">
        <f>IF('Seznam zápasů'!F380="","",'Seznam zápasů'!F380)</f>
        <v/>
      </c>
      <c r="AG19" s="39" t="str">
        <f>IF('Seznam zápasů'!G380="","",'Seznam zápasů'!G380)</f>
        <v/>
      </c>
      <c r="AH19" s="39" t="str">
        <f>IF('Seznam zápasů'!H380="","",'Seznam zápasů'!H380)</f>
        <v/>
      </c>
      <c r="AI19" s="39" t="str">
        <f>IF('Seznam zápasů'!I380="","",'Seznam zápasů'!I380)</f>
        <v/>
      </c>
      <c r="AJ19" s="39" t="str">
        <f ca="1">IF('Seznam zápasů'!J380="","",'Seznam zápasů'!J380)</f>
        <v>Nadcházející</v>
      </c>
      <c r="AK19" s="42">
        <f>IF('Seznam zápasů'!A381="","",'Seznam zápasů'!A381)</f>
        <v>46480</v>
      </c>
      <c r="AL19" s="39" t="str">
        <f>IF('Seznam zápasů'!B381="","",'Seznam zápasů'!B381)</f>
        <v>So</v>
      </c>
      <c r="AM19" s="39" t="str">
        <f>IF('Seznam zápasů'!D381="","",'Seznam zápasů'!D381)</f>
        <v>SBLŽ</v>
      </c>
      <c r="AN19" s="39" t="str">
        <f>IF('Seznam zápasů'!E381="","",'Seznam zápasů'!E381)</f>
        <v>ČF</v>
      </c>
      <c r="AO19" s="45" t="str">
        <f>IF('Seznam zápasů'!F381="","",'Seznam zápasů'!F381)</f>
        <v/>
      </c>
      <c r="AP19" s="39" t="str">
        <f>IF('Seznam zápasů'!G381="","",'Seznam zápasů'!G381)</f>
        <v/>
      </c>
      <c r="AQ19" s="39" t="str">
        <f>IF('Seznam zápasů'!H381="","",'Seznam zápasů'!H381)</f>
        <v/>
      </c>
      <c r="AR19" s="39" t="str">
        <f>IF('Seznam zápasů'!I381="","",'Seznam zápasů'!I381)</f>
        <v/>
      </c>
      <c r="AS19" s="39" t="str">
        <f ca="1">IF('Seznam zápasů'!J381="","",'Seznam zápasů'!J381)</f>
        <v>Nadcházející</v>
      </c>
      <c r="BC19" s="42">
        <f>IF('Seznam zápasů'!A302="","",'Seznam zápasů'!A302)</f>
        <v>46438</v>
      </c>
      <c r="BD19" s="39" t="str">
        <f>IF('Seznam zápasů'!B302="","",'Seznam zápasů'!B302)</f>
        <v>So</v>
      </c>
      <c r="BE19" s="39" t="str">
        <f>IF('Seznam zápasů'!D302="","",'Seznam zápasů'!D302)</f>
        <v>nadreg. liga</v>
      </c>
      <c r="BF19" s="39" t="str">
        <f>IF('Seznam zápasů'!E302="","",'Seznam zápasů'!E302)</f>
        <v>Sokol Žižkov B</v>
      </c>
      <c r="BG19" s="45" t="str">
        <f>IF('Seznam zápasů'!F302="","",'Seznam zápasů'!F302)</f>
        <v>17213</v>
      </c>
      <c r="BH19" s="39" t="str">
        <f>IF('Seznam zápasů'!G302="","",'Seznam zápasů'!G302)</f>
        <v/>
      </c>
      <c r="BI19" s="39" t="str">
        <f>IF('Seznam zápasů'!H302="","",'Seznam zápasů'!H302)</f>
        <v/>
      </c>
      <c r="BJ19" s="39" t="str">
        <f>IF('Seznam zápasů'!I302="","",'Seznam zápasů'!I302)</f>
        <v/>
      </c>
      <c r="BK19" s="39" t="str">
        <f ca="1">IF('Seznam zápasů'!J302="","",'Seznam zápasů'!J302)</f>
        <v>Nadcházející</v>
      </c>
      <c r="BL19" s="42">
        <f>IF('Seznam zápasů'!A303="","",'Seznam zápasů'!A303)</f>
        <v>46438</v>
      </c>
      <c r="BM19" s="39" t="str">
        <f>IF('Seznam zápasů'!B303="","",'Seznam zápasů'!B303)</f>
        <v>So</v>
      </c>
      <c r="BN19" s="39" t="str">
        <f>IF('Seznam zápasů'!D303="","",'Seznam zápasů'!D303)</f>
        <v>celostátní liga</v>
      </c>
      <c r="BO19" s="39" t="str">
        <f>IF('Seznam zápasů'!E303="","",'Seznam zápasů'!E303)</f>
        <v>F2, S2</v>
      </c>
      <c r="BP19" s="45" t="str">
        <f>IF('Seznam zápasů'!F303="","",'Seznam zápasů'!F303)</f>
        <v/>
      </c>
      <c r="BQ19" s="39" t="str">
        <f>IF('Seznam zápasů'!G303="","",'Seznam zápasů'!G303)</f>
        <v/>
      </c>
      <c r="BR19" s="39" t="str">
        <f>IF('Seznam zápasů'!H303="","",'Seznam zápasů'!H303)</f>
        <v/>
      </c>
      <c r="BS19" s="39" t="str">
        <f>IF('Seznam zápasů'!I303="","",'Seznam zápasů'!I303)</f>
        <v/>
      </c>
      <c r="BT19" s="39" t="str">
        <f ca="1">IF('Seznam zápasů'!J303="","",'Seznam zápasů'!J303)</f>
        <v>Nadcházející</v>
      </c>
      <c r="BU19" s="42">
        <f>IF('Seznam zápasů'!A304="","",'Seznam zápasů'!A304)</f>
        <v>46438</v>
      </c>
      <c r="BV19" s="39" t="str">
        <f>IF('Seznam zápasů'!B304="","",'Seznam zápasů'!B304)</f>
        <v>So</v>
      </c>
      <c r="BW19" s="39" t="str">
        <f>IF('Seznam zápasů'!D304="","",'Seznam zápasů'!D304)</f>
        <v>nadreg. liga</v>
      </c>
      <c r="BX19" s="39" t="str">
        <f>IF('Seznam zápasů'!E304="","",'Seznam zápasů'!E304)</f>
        <v>BC Slaný</v>
      </c>
      <c r="BY19" s="45" t="str">
        <f>IF('Seznam zápasů'!F304="","",'Seznam zápasů'!F304)</f>
        <v>17627</v>
      </c>
      <c r="BZ19" s="39" t="str">
        <f>IF('Seznam zápasů'!G304="","",'Seznam zápasů'!G304)</f>
        <v/>
      </c>
      <c r="CA19" s="39" t="str">
        <f>IF('Seznam zápasů'!H304="","",'Seznam zápasů'!H304)</f>
        <v/>
      </c>
      <c r="CB19" s="39" t="str">
        <f>IF('Seznam zápasů'!I304="","",'Seznam zápasů'!I304)</f>
        <v/>
      </c>
      <c r="CC19" s="39" t="str">
        <f ca="1">IF('Seznam zápasů'!J304="","",'Seznam zápasů'!J304)</f>
        <v>Nadcházející</v>
      </c>
      <c r="CD19" s="42">
        <f>IF('Seznam zápasů'!A334="","",'Seznam zápasů'!A334)</f>
        <v>46452</v>
      </c>
      <c r="CE19" s="39" t="str">
        <f>IF('Seznam zápasů'!B334="","",'Seznam zápasů'!B334)</f>
        <v>So</v>
      </c>
      <c r="CF19" s="39" t="str">
        <f>IF('Seznam zápasů'!D334="","",'Seznam zápasů'!D334)</f>
        <v>žákovská liga</v>
      </c>
      <c r="CG19" s="39" t="str">
        <f>IF('Seznam zápasů'!E334="","",'Seznam zápasů'!E334)</f>
        <v>F2, S2</v>
      </c>
      <c r="CH19" s="45" t="str">
        <f>IF('Seznam zápasů'!F334="","",'Seznam zápasů'!F334)</f>
        <v/>
      </c>
      <c r="CI19" s="39" t="str">
        <f>IF('Seznam zápasů'!G334="","",'Seznam zápasů'!G334)</f>
        <v/>
      </c>
      <c r="CJ19" s="39" t="str">
        <f>IF('Seznam zápasů'!H334="","",'Seznam zápasů'!H334)</f>
        <v/>
      </c>
      <c r="CK19" s="39" t="str">
        <f>IF('Seznam zápasů'!I334="","",'Seznam zápasů'!I334)</f>
        <v/>
      </c>
      <c r="CL19" s="39" t="str">
        <f ca="1">IF('Seznam zápasů'!J334="","",'Seznam zápasů'!J334)</f>
        <v>Nadcházející</v>
      </c>
      <c r="CM19" s="42">
        <f>IF('Seznam zápasů'!A323="","",'Seznam zápasů'!A323)</f>
        <v>46445</v>
      </c>
      <c r="CN19" s="39" t="str">
        <f>IF('Seznam zápasů'!B323="","",'Seznam zápasů'!B323)</f>
        <v>So</v>
      </c>
      <c r="CO19" s="39" t="str">
        <f>IF('Seznam zápasů'!D323="","",'Seznam zápasů'!D323)</f>
        <v>žákovská liga</v>
      </c>
      <c r="CP19" s="39" t="str">
        <f>IF('Seznam zápasů'!E323="","",'Seznam zápasů'!E323)</f>
        <v>F2, S2</v>
      </c>
      <c r="CQ19" s="45" t="str">
        <f>IF('Seznam zápasů'!F323="","",'Seznam zápasů'!F323)</f>
        <v/>
      </c>
      <c r="CR19" s="39" t="str">
        <f>IF('Seznam zápasů'!G323="","",'Seznam zápasů'!G323)</f>
        <v/>
      </c>
      <c r="CS19" s="39" t="str">
        <f>IF('Seznam zápasů'!H323="","",'Seznam zápasů'!H323)</f>
        <v/>
      </c>
      <c r="CT19" s="39" t="str">
        <f>IF('Seznam zápasů'!I323="","",'Seznam zápasů'!I323)</f>
        <v/>
      </c>
      <c r="CU19" s="39" t="str">
        <f ca="1">IF('Seznam zápasů'!J323="","",'Seznam zápasů'!J323)</f>
        <v>Nadcházející</v>
      </c>
      <c r="CV19" s="42">
        <f>IF('Seznam zápasů'!A362="","",'Seznam zápasů'!A362)</f>
        <v>46466</v>
      </c>
      <c r="CW19" s="39" t="str">
        <f>IF('Seznam zápasů'!B362="","",'Seznam zápasů'!B362)</f>
        <v>So</v>
      </c>
      <c r="CX19" s="39" t="str">
        <f>IF('Seznam zápasů'!D362="","",'Seznam zápasů'!D362)</f>
        <v>nadreg. Liga</v>
      </c>
      <c r="CY19" s="39" t="str">
        <f>IF('Seznam zápasů'!E362="","",'Seznam zápasů'!E362)</f>
        <v>BK Brandýs</v>
      </c>
      <c r="CZ19" s="45" t="str">
        <f>IF('Seznam zápasů'!F362="","",'Seznam zápasů'!F362)</f>
        <v>113</v>
      </c>
      <c r="DA19" s="39" t="str">
        <f>IF('Seznam zápasů'!G362="","",'Seznam zápasů'!G362)</f>
        <v/>
      </c>
      <c r="DB19" s="39" t="str">
        <f>IF('Seznam zápasů'!H362="","",'Seznam zápasů'!H362)</f>
        <v/>
      </c>
      <c r="DC19" s="39" t="str">
        <f>IF('Seznam zápasů'!I362="","",'Seznam zápasů'!I362)</f>
        <v/>
      </c>
      <c r="DD19" s="39" t="str">
        <f ca="1">IF('Seznam zápasů'!J362="","",'Seznam zápasů'!J362)</f>
        <v>Nadcházející</v>
      </c>
      <c r="DE19" s="42">
        <f>IF('Seznam zápasů'!A286="","",'Seznam zápasů'!A286)</f>
        <v>46425</v>
      </c>
      <c r="DF19" s="39" t="str">
        <f>IF('Seznam zápasů'!B286="","",'Seznam zápasů'!B286)</f>
        <v>Ne</v>
      </c>
      <c r="DG19" s="39" t="str">
        <f>IF('Seznam zápasů'!D286="","",'Seznam zápasů'!D286)</f>
        <v>žákovská liga</v>
      </c>
      <c r="DH19" s="39" t="str">
        <f>IF('Seznam zápasů'!E286="","",'Seznam zápasů'!E286)</f>
        <v>F2, S2</v>
      </c>
      <c r="DI19" s="45" t="str">
        <f>IF('Seznam zápasů'!F286="","",'Seznam zápasů'!F286)</f>
        <v/>
      </c>
      <c r="DJ19" s="39" t="str">
        <f>IF('Seznam zápasů'!G286="","",'Seznam zápasů'!G286)</f>
        <v/>
      </c>
      <c r="DK19" s="39" t="str">
        <f>IF('Seznam zápasů'!H286="","",'Seznam zápasů'!H286)</f>
        <v/>
      </c>
      <c r="DL19" s="39" t="str">
        <f>IF('Seznam zápasů'!I286="","",'Seznam zápasů'!I286)</f>
        <v/>
      </c>
      <c r="DM19" s="39" t="str">
        <f ca="1">IF('Seznam zápasů'!J286="","",'Seznam zápasů'!J286)</f>
        <v>Nadcházející</v>
      </c>
      <c r="DN19" s="42">
        <f>IF('Seznam zápasů'!A318="","",'Seznam zápasů'!A318)</f>
        <v>46439</v>
      </c>
      <c r="DO19" s="39" t="str">
        <f>IF('Seznam zápasů'!B318="","",'Seznam zápasů'!B318)</f>
        <v>Ne</v>
      </c>
      <c r="DP19" s="39" t="str">
        <f>IF('Seznam zápasů'!D318="","",'Seznam zápasů'!D318)</f>
        <v>žákovská liga</v>
      </c>
      <c r="DQ19" s="39" t="str">
        <f>IF('Seznam zápasů'!E318="","",'Seznam zápasů'!E318)</f>
        <v>F3, S3</v>
      </c>
      <c r="DR19" s="45" t="str">
        <f>IF('Seznam zápasů'!F318="","",'Seznam zápasů'!F318)</f>
        <v/>
      </c>
      <c r="DS19" s="39" t="str">
        <f>IF('Seznam zápasů'!G318="","",'Seznam zápasů'!G318)</f>
        <v/>
      </c>
      <c r="DT19" s="39" t="str">
        <f>IF('Seznam zápasů'!H318="","",'Seznam zápasů'!H318)</f>
        <v/>
      </c>
      <c r="DU19" s="39" t="str">
        <f>IF('Seznam zápasů'!I318="","",'Seznam zápasů'!I318)</f>
        <v/>
      </c>
      <c r="DV19" s="39" t="str">
        <f ca="1">IF('Seznam zápasů'!J318="","",'Seznam zápasů'!J318)</f>
        <v>Nadcházející</v>
      </c>
      <c r="EF19" s="43">
        <f>IF('Seznam zápasů'!A418="","",'Seznam zápasů'!A418)</f>
        <v>46501</v>
      </c>
      <c r="EG19" s="40" t="str">
        <f>IF('Seznam zápasů'!B418="","",'Seznam zápasů'!B418)</f>
        <v>So</v>
      </c>
      <c r="EH19" s="40" t="str">
        <f>IF('Seznam zápasů'!D418="","",'Seznam zápasů'!D418)</f>
        <v>KP + kval. o NF</v>
      </c>
      <c r="EI19" s="40" t="str">
        <f>IF('Seznam zápasů'!E418="","",'Seznam zápasů'!E418)</f>
        <v>Basketbal Újezd nad Lesy</v>
      </c>
      <c r="EJ19" s="46" t="str">
        <f>IF('Seznam zápasů'!F418="","",'Seznam zápasů'!F418)</f>
        <v>061</v>
      </c>
      <c r="EK19" s="40" t="str">
        <f>IF('Seznam zápasů'!G418="","",'Seznam zápasů'!G418)</f>
        <v/>
      </c>
      <c r="EL19" s="40" t="str">
        <f>IF('Seznam zápasů'!H418="","",'Seznam zápasů'!H418)</f>
        <v/>
      </c>
      <c r="EM19" s="40" t="str">
        <f>IF('Seznam zápasů'!I418="","",'Seznam zápasů'!I418)</f>
        <v/>
      </c>
      <c r="EN19" s="40" t="str">
        <f ca="1">IF('Seznam zápasů'!J418="","",'Seznam zápasů'!J418)</f>
        <v>Nadcházející</v>
      </c>
      <c r="FP19" s="42">
        <f>IF('Seznam zápasů'!A293="","",'Seznam zápasů'!A293)</f>
        <v>46431</v>
      </c>
      <c r="FQ19" s="39" t="str">
        <f>IF('Seznam zápasů'!B293="","",'Seznam zápasů'!B293)</f>
        <v>So</v>
      </c>
      <c r="FR19" s="39" t="str">
        <f>IF('Seznam zápasů'!D293="","",'Seznam zápasů'!D293)</f>
        <v>KP + kval. o NF</v>
      </c>
      <c r="FS19" s="39" t="str">
        <f>IF('Seznam zápasů'!E293="","",'Seznam zápasů'!E293)</f>
        <v>BK Brandýs</v>
      </c>
      <c r="FT19" s="45" t="str">
        <f>IF('Seznam zápasů'!F293="","",'Seznam zápasů'!F293)</f>
        <v>086</v>
      </c>
      <c r="FU19" s="39" t="str">
        <f>IF('Seznam zápasů'!G293="","",'Seznam zápasů'!G293)</f>
        <v/>
      </c>
      <c r="FV19" s="39" t="str">
        <f>IF('Seznam zápasů'!H293="","",'Seznam zápasů'!H293)</f>
        <v/>
      </c>
      <c r="FW19" s="39" t="str">
        <f>IF('Seznam zápasů'!I293="","",'Seznam zápasů'!I293)</f>
        <v/>
      </c>
      <c r="FX19" s="39" t="str">
        <f ca="1">IF('Seznam zápasů'!J293="","",'Seznam zápasů'!J293)</f>
        <v>Nadcházející</v>
      </c>
    </row>
    <row r="20" spans="1:180" x14ac:dyDescent="0.2">
      <c r="A20" s="42">
        <f>IF('Seznam zápasů'!A316="","",'Seznam zápasů'!A316)</f>
        <v>46439</v>
      </c>
      <c r="B20" s="39" t="str">
        <f>IF('Seznam zápasů'!B316="","",'Seznam zápasů'!B316)</f>
        <v>Ne</v>
      </c>
      <c r="C20" s="39" t="str">
        <f>IF('Seznam zápasů'!D316="","",'Seznam zápasů'!D316)</f>
        <v>SBLM</v>
      </c>
      <c r="D20" s="39" t="str">
        <f>IF('Seznam zápasů'!E316="","",'Seznam zápasů'!E316)</f>
        <v>BK Kladno "B"</v>
      </c>
      <c r="E20" s="45" t="str">
        <f>IF('Seznam zápasů'!F316="","",'Seznam zápasů'!F316)</f>
        <v>111</v>
      </c>
      <c r="F20" s="39" t="str">
        <f>IF('Seznam zápasů'!G316="","",'Seznam zápasů'!G316)</f>
        <v/>
      </c>
      <c r="G20" s="39" t="str">
        <f>IF('Seznam zápasů'!H316="","",'Seznam zápasů'!H316)</f>
        <v/>
      </c>
      <c r="H20" s="39" t="str">
        <f>IF('Seznam zápasů'!I316="","",'Seznam zápasů'!I316)</f>
        <v/>
      </c>
      <c r="I20" s="39" t="str">
        <f ca="1">IF('Seznam zápasů'!J316="","",'Seznam zápasů'!J316)</f>
        <v>Nadcházející</v>
      </c>
      <c r="J20" s="42">
        <f>IF('Seznam zápasů'!A398="","",'Seznam zápasů'!A398)</f>
        <v>46488</v>
      </c>
      <c r="K20" s="39" t="str">
        <f>IF('Seznam zápasů'!B398="","",'Seznam zápasů'!B398)</f>
        <v>Ne</v>
      </c>
      <c r="L20" s="39" t="str">
        <f>IF('Seznam zápasů'!D398="","",'Seznam zápasů'!D398)</f>
        <v>KP</v>
      </c>
      <c r="M20" s="39" t="str">
        <f>IF('Seznam zápasů'!E398="","",'Seznam zápasů'!E398)</f>
        <v>ČF</v>
      </c>
      <c r="N20" s="45" t="str">
        <f>IF('Seznam zápasů'!F398="","",'Seznam zápasů'!F398)</f>
        <v/>
      </c>
      <c r="O20" s="39" t="str">
        <f>IF('Seznam zápasů'!G398="","",'Seznam zápasů'!G398)</f>
        <v/>
      </c>
      <c r="P20" s="39" t="str">
        <f>IF('Seznam zápasů'!H398="","",'Seznam zápasů'!H398)</f>
        <v/>
      </c>
      <c r="Q20" s="39" t="str">
        <f>IF('Seznam zápasů'!I398="","",'Seznam zápasů'!I398)</f>
        <v/>
      </c>
      <c r="R20" s="39" t="str">
        <f ca="1">IF('Seznam zápasů'!J398="","",'Seznam zápasů'!J398)</f>
        <v>Nadcházející</v>
      </c>
      <c r="S20" s="43">
        <f>IF('Seznam zápasů'!A430="","",'Seznam zápasů'!A430)</f>
        <v>46509</v>
      </c>
      <c r="T20" s="40" t="str">
        <f>IF('Seznam zápasů'!B430="","",'Seznam zápasů'!B430)</f>
        <v>Ne</v>
      </c>
      <c r="U20" s="40" t="str">
        <f>IF('Seznam zápasů'!D430="","",'Seznam zápasů'!D430)</f>
        <v>II. Liga</v>
      </c>
      <c r="V20" s="40" t="str">
        <f>IF('Seznam zápasů'!E430="","",'Seznam zápasů'!E430)</f>
        <v>F</v>
      </c>
      <c r="W20" s="46" t="str">
        <f>IF('Seznam zápasů'!F430="","",'Seznam zápasů'!F430)</f>
        <v/>
      </c>
      <c r="X20" s="40" t="str">
        <f>IF('Seznam zápasů'!G430="","",'Seznam zápasů'!G430)</f>
        <v/>
      </c>
      <c r="Y20" s="40" t="str">
        <f>IF('Seznam zápasů'!H430="","",'Seznam zápasů'!H430)</f>
        <v/>
      </c>
      <c r="Z20" s="40" t="str">
        <f>IF('Seznam zápasů'!I430="","",'Seznam zápasů'!I430)</f>
        <v/>
      </c>
      <c r="AA20" s="40" t="str">
        <f ca="1">IF('Seznam zápasů'!J430="","",'Seznam zápasů'!J430)</f>
        <v>Nadcházející</v>
      </c>
      <c r="AB20" s="42">
        <f>IF('Seznam zápasů'!A388="","",'Seznam zápasů'!A388)</f>
        <v>46481</v>
      </c>
      <c r="AC20" s="39" t="str">
        <f>IF('Seznam zápasů'!B388="","",'Seznam zápasů'!B388)</f>
        <v>Ne</v>
      </c>
      <c r="AD20" s="39" t="str">
        <f>IF('Seznam zápasů'!D388="","",'Seznam zápasů'!D388)</f>
        <v>SBLŽ</v>
      </c>
      <c r="AE20" s="39" t="str">
        <f>IF('Seznam zápasů'!E388="","",'Seznam zápasů'!E388)</f>
        <v>ČF</v>
      </c>
      <c r="AF20" s="45" t="str">
        <f>IF('Seznam zápasů'!F388="","",'Seznam zápasů'!F388)</f>
        <v/>
      </c>
      <c r="AG20" s="39" t="str">
        <f>IF('Seznam zápasů'!G388="","",'Seznam zápasů'!G388)</f>
        <v/>
      </c>
      <c r="AH20" s="39" t="str">
        <f>IF('Seznam zápasů'!H388="","",'Seznam zápasů'!H388)</f>
        <v/>
      </c>
      <c r="AI20" s="39" t="str">
        <f>IF('Seznam zápasů'!I388="","",'Seznam zápasů'!I388)</f>
        <v/>
      </c>
      <c r="AJ20" s="39" t="str">
        <f ca="1">IF('Seznam zápasů'!J388="","",'Seznam zápasů'!J388)</f>
        <v>Nadcházející</v>
      </c>
      <c r="AK20" s="42">
        <f>IF('Seznam zápasů'!A389="","",'Seznam zápasů'!A389)</f>
        <v>46481</v>
      </c>
      <c r="AL20" s="39" t="str">
        <f>IF('Seznam zápasů'!B389="","",'Seznam zápasů'!B389)</f>
        <v>Ne</v>
      </c>
      <c r="AM20" s="39" t="str">
        <f>IF('Seznam zápasů'!D389="","",'Seznam zápasů'!D389)</f>
        <v>SBLŽ</v>
      </c>
      <c r="AN20" s="39" t="str">
        <f>IF('Seznam zápasů'!E389="","",'Seznam zápasů'!E389)</f>
        <v>ČF</v>
      </c>
      <c r="AO20" s="45" t="str">
        <f>IF('Seznam zápasů'!F389="","",'Seznam zápasů'!F389)</f>
        <v/>
      </c>
      <c r="AP20" s="39" t="str">
        <f>IF('Seznam zápasů'!G389="","",'Seznam zápasů'!G389)</f>
        <v/>
      </c>
      <c r="AQ20" s="39" t="str">
        <f>IF('Seznam zápasů'!H389="","",'Seznam zápasů'!H389)</f>
        <v/>
      </c>
      <c r="AR20" s="39" t="str">
        <f>IF('Seznam zápasů'!I389="","",'Seznam zápasů'!I389)</f>
        <v/>
      </c>
      <c r="AS20" s="39" t="str">
        <f ca="1">IF('Seznam zápasů'!J389="","",'Seznam zápasů'!J389)</f>
        <v>Nadcházející</v>
      </c>
      <c r="BC20" s="42">
        <f>IF('Seznam zápasů'!A313="","",'Seznam zápasů'!A313)</f>
        <v>46439</v>
      </c>
      <c r="BD20" s="39" t="str">
        <f>IF('Seznam zápasů'!B313="","",'Seznam zápasů'!B313)</f>
        <v>Ne</v>
      </c>
      <c r="BE20" s="39" t="str">
        <f>IF('Seznam zápasů'!D313="","",'Seznam zápasů'!D313)</f>
        <v>nadreg. liga</v>
      </c>
      <c r="BF20" s="39" t="str">
        <f>IF('Seznam zápasů'!E313="","",'Seznam zápasů'!E313)</f>
        <v>Jižní Supi B</v>
      </c>
      <c r="BG20" s="45" t="str">
        <f>IF('Seznam zápasů'!F313="","",'Seznam zápasů'!F313)</f>
        <v>17218</v>
      </c>
      <c r="BH20" s="39" t="str">
        <f>IF('Seznam zápasů'!G313="","",'Seznam zápasů'!G313)</f>
        <v/>
      </c>
      <c r="BI20" s="39" t="str">
        <f>IF('Seznam zápasů'!H313="","",'Seznam zápasů'!H313)</f>
        <v/>
      </c>
      <c r="BJ20" s="39" t="str">
        <f>IF('Seznam zápasů'!I313="","",'Seznam zápasů'!I313)</f>
        <v/>
      </c>
      <c r="BK20" s="39" t="str">
        <f ca="1">IF('Seznam zápasů'!J313="","",'Seznam zápasů'!J313)</f>
        <v>Nadcházející</v>
      </c>
      <c r="BL20" s="42">
        <f>IF('Seznam zápasů'!A314="","",'Seznam zápasů'!A314)</f>
        <v>46439</v>
      </c>
      <c r="BM20" s="39" t="str">
        <f>IF('Seznam zápasů'!B314="","",'Seznam zápasů'!B314)</f>
        <v>Ne</v>
      </c>
      <c r="BN20" s="39" t="str">
        <f>IF('Seznam zápasů'!D314="","",'Seznam zápasů'!D314)</f>
        <v>celostátní liga</v>
      </c>
      <c r="BO20" s="39" t="str">
        <f>IF('Seznam zápasů'!E314="","",'Seznam zápasů'!E314)</f>
        <v>F2, S2</v>
      </c>
      <c r="BP20" s="45" t="str">
        <f>IF('Seznam zápasů'!F314="","",'Seznam zápasů'!F314)</f>
        <v/>
      </c>
      <c r="BQ20" s="39" t="str">
        <f>IF('Seznam zápasů'!G314="","",'Seznam zápasů'!G314)</f>
        <v/>
      </c>
      <c r="BR20" s="39" t="str">
        <f>IF('Seznam zápasů'!H314="","",'Seznam zápasů'!H314)</f>
        <v/>
      </c>
      <c r="BS20" s="39" t="str">
        <f>IF('Seznam zápasů'!I314="","",'Seznam zápasů'!I314)</f>
        <v/>
      </c>
      <c r="BT20" s="39" t="str">
        <f ca="1">IF('Seznam zápasů'!J314="","",'Seznam zápasů'!J314)</f>
        <v>Nadcházející</v>
      </c>
      <c r="BU20" s="42">
        <f>IF('Seznam zápasů'!A315="","",'Seznam zápasů'!A315)</f>
        <v>46439</v>
      </c>
      <c r="BV20" s="39" t="str">
        <f>IF('Seznam zápasů'!B315="","",'Seznam zápasů'!B315)</f>
        <v>Ne</v>
      </c>
      <c r="BW20" s="39" t="str">
        <f>IF('Seznam zápasů'!D315="","",'Seznam zápasů'!D315)</f>
        <v>nadreg. liga</v>
      </c>
      <c r="BX20" s="39" t="str">
        <f>IF('Seznam zápasů'!E315="","",'Seznam zápasů'!E315)</f>
        <v>BCM Sokolov</v>
      </c>
      <c r="BY20" s="45" t="str">
        <f>IF('Seznam zápasů'!F315="","",'Seznam zápasů'!F315)</f>
        <v>17634</v>
      </c>
      <c r="BZ20" s="39" t="str">
        <f>IF('Seznam zápasů'!G315="","",'Seznam zápasů'!G315)</f>
        <v/>
      </c>
      <c r="CA20" s="39" t="str">
        <f>IF('Seznam zápasů'!H315="","",'Seznam zápasů'!H315)</f>
        <v/>
      </c>
      <c r="CB20" s="39" t="str">
        <f>IF('Seznam zápasů'!I315="","",'Seznam zápasů'!I315)</f>
        <v/>
      </c>
      <c r="CC20" s="39" t="str">
        <f ca="1">IF('Seznam zápasů'!J315="","",'Seznam zápasů'!J315)</f>
        <v>Nadcházející</v>
      </c>
      <c r="CD20" s="42">
        <f>IF('Seznam zápasů'!A339="","",'Seznam zápasů'!A339)</f>
        <v>46453</v>
      </c>
      <c r="CE20" s="39" t="str">
        <f>IF('Seznam zápasů'!B339="","",'Seznam zápasů'!B339)</f>
        <v>Ne</v>
      </c>
      <c r="CF20" s="39" t="str">
        <f>IF('Seznam zápasů'!D339="","",'Seznam zápasů'!D339)</f>
        <v>žákovská liga</v>
      </c>
      <c r="CG20" s="39" t="str">
        <f>IF('Seznam zápasů'!E339="","",'Seznam zápasů'!E339)</f>
        <v>F2, S2</v>
      </c>
      <c r="CH20" s="45" t="str">
        <f>IF('Seznam zápasů'!F339="","",'Seznam zápasů'!F339)</f>
        <v/>
      </c>
      <c r="CI20" s="39" t="str">
        <f>IF('Seznam zápasů'!G339="","",'Seznam zápasů'!G339)</f>
        <v/>
      </c>
      <c r="CJ20" s="39" t="str">
        <f>IF('Seznam zápasů'!H339="","",'Seznam zápasů'!H339)</f>
        <v/>
      </c>
      <c r="CK20" s="39" t="str">
        <f>IF('Seznam zápasů'!I339="","",'Seznam zápasů'!I339)</f>
        <v/>
      </c>
      <c r="CL20" s="39" t="str">
        <f ca="1">IF('Seznam zápasů'!J339="","",'Seznam zápasů'!J339)</f>
        <v>Nadcházející</v>
      </c>
      <c r="CM20" s="42">
        <f>IF('Seznam zápasů'!A326="","",'Seznam zápasů'!A326)</f>
        <v>46446</v>
      </c>
      <c r="CN20" s="39" t="str">
        <f>IF('Seznam zápasů'!B326="","",'Seznam zápasů'!B326)</f>
        <v>Ne</v>
      </c>
      <c r="CO20" s="39" t="str">
        <f>IF('Seznam zápasů'!D326="","",'Seznam zápasů'!D326)</f>
        <v>žákovská liga</v>
      </c>
      <c r="CP20" s="39" t="str">
        <f>IF('Seznam zápasů'!E326="","",'Seznam zápasů'!E326)</f>
        <v>F2, S2</v>
      </c>
      <c r="CQ20" s="45" t="str">
        <f>IF('Seznam zápasů'!F326="","",'Seznam zápasů'!F326)</f>
        <v/>
      </c>
      <c r="CR20" s="39" t="str">
        <f>IF('Seznam zápasů'!G326="","",'Seznam zápasů'!G326)</f>
        <v/>
      </c>
      <c r="CS20" s="39" t="str">
        <f>IF('Seznam zápasů'!H326="","",'Seznam zápasů'!H326)</f>
        <v/>
      </c>
      <c r="CT20" s="39" t="str">
        <f>IF('Seznam zápasů'!I326="","",'Seznam zápasů'!I326)</f>
        <v/>
      </c>
      <c r="CU20" s="39" t="str">
        <f ca="1">IF('Seznam zápasů'!J326="","",'Seznam zápasů'!J326)</f>
        <v>Nadcházející</v>
      </c>
      <c r="CV20" s="43">
        <f>IF('Seznam zápasů'!A368="","",'Seznam zápasů'!A368)</f>
        <v>46467</v>
      </c>
      <c r="CW20" s="40" t="str">
        <f>IF('Seznam zápasů'!B368="","",'Seznam zápasů'!B368)</f>
        <v>Ne</v>
      </c>
      <c r="CX20" s="40" t="str">
        <f>IF('Seznam zápasů'!D368="","",'Seznam zápasů'!D368)</f>
        <v>nadreg. Liga</v>
      </c>
      <c r="CY20" s="40" t="str">
        <f>IF('Seznam zápasů'!E368="","",'Seznam zápasů'!E368)</f>
        <v>BC Wizard</v>
      </c>
      <c r="CZ20" s="46" t="str">
        <f>IF('Seznam zápasů'!F368="","",'Seznam zápasů'!F368)</f>
        <v>117</v>
      </c>
      <c r="DA20" s="40" t="str">
        <f>IF('Seznam zápasů'!G368="","",'Seznam zápasů'!G368)</f>
        <v/>
      </c>
      <c r="DB20" s="40" t="str">
        <f>IF('Seznam zápasů'!H368="","",'Seznam zápasů'!H368)</f>
        <v/>
      </c>
      <c r="DC20" s="40" t="str">
        <f>IF('Seznam zápasů'!I368="","",'Seznam zápasů'!I368)</f>
        <v/>
      </c>
      <c r="DD20" s="40" t="str">
        <f ca="1">IF('Seznam zápasů'!J368="","",'Seznam zápasů'!J368)</f>
        <v>Nadcházející</v>
      </c>
      <c r="DE20" s="42">
        <f>IF('Seznam zápasů'!A309="","",'Seznam zápasů'!A309)</f>
        <v>46438</v>
      </c>
      <c r="DF20" s="39" t="str">
        <f>IF('Seznam zápasů'!B309="","",'Seznam zápasů'!B309)</f>
        <v>So</v>
      </c>
      <c r="DG20" s="39" t="str">
        <f>IF('Seznam zápasů'!D309="","",'Seznam zápasů'!D309)</f>
        <v>žákovská liga</v>
      </c>
      <c r="DH20" s="39" t="str">
        <f>IF('Seznam zápasů'!E309="","",'Seznam zápasů'!E309)</f>
        <v>F3, S3</v>
      </c>
      <c r="DI20" s="45" t="str">
        <f>IF('Seznam zápasů'!F309="","",'Seznam zápasů'!F309)</f>
        <v/>
      </c>
      <c r="DJ20" s="39" t="str">
        <f>IF('Seznam zápasů'!G309="","",'Seznam zápasů'!G309)</f>
        <v/>
      </c>
      <c r="DK20" s="39" t="str">
        <f>IF('Seznam zápasů'!H309="","",'Seznam zápasů'!H309)</f>
        <v/>
      </c>
      <c r="DL20" s="39" t="str">
        <f>IF('Seznam zápasů'!I309="","",'Seznam zápasů'!I309)</f>
        <v/>
      </c>
      <c r="DM20" s="39" t="str">
        <f ca="1">IF('Seznam zápasů'!J309="","",'Seznam zápasů'!J309)</f>
        <v>Nadcházející</v>
      </c>
      <c r="DN20" s="42">
        <f>IF('Seznam zápasů'!A346="","",'Seznam zápasů'!A346)</f>
        <v>46459</v>
      </c>
      <c r="DO20" s="39" t="str">
        <f>IF('Seznam zápasů'!B346="","",'Seznam zápasů'!B346)</f>
        <v>So</v>
      </c>
      <c r="DP20" s="39" t="str">
        <f>IF('Seznam zápasů'!D346="","",'Seznam zápasů'!D346)</f>
        <v>žákovská liga</v>
      </c>
      <c r="DQ20" s="39" t="str">
        <f>IF('Seznam zápasů'!E346="","",'Seznam zápasů'!E346)</f>
        <v>F1´, S1´</v>
      </c>
      <c r="DR20" s="45" t="str">
        <f>IF('Seznam zápasů'!F346="","",'Seznam zápasů'!F346)</f>
        <v/>
      </c>
      <c r="DS20" s="39" t="str">
        <f>IF('Seznam zápasů'!G346="","",'Seznam zápasů'!G346)</f>
        <v/>
      </c>
      <c r="DT20" s="39" t="str">
        <f>IF('Seznam zápasů'!H346="","",'Seznam zápasů'!H346)</f>
        <v/>
      </c>
      <c r="DU20" s="39" t="str">
        <f>IF('Seznam zápasů'!I346="","",'Seznam zápasů'!I346)</f>
        <v/>
      </c>
      <c r="DV20" s="39" t="str">
        <f ca="1">IF('Seznam zápasů'!J346="","",'Seznam zápasů'!J346)</f>
        <v>Nadcházející</v>
      </c>
      <c r="FP20" s="42">
        <f>IF('Seznam zápasů'!A297="","",'Seznam zápasů'!A297)</f>
        <v>46432</v>
      </c>
      <c r="FQ20" s="39" t="str">
        <f>IF('Seznam zápasů'!B297="","",'Seznam zápasů'!B297)</f>
        <v>Ne</v>
      </c>
      <c r="FR20" s="39" t="str">
        <f>IF('Seznam zápasů'!D297="","",'Seznam zápasů'!D297)</f>
        <v>KP + kval. o NF</v>
      </c>
      <c r="FS20" s="39" t="str">
        <f>IF('Seznam zápasů'!E297="","",'Seznam zápasů'!E297)</f>
        <v>TJ AŠ Mladá Boleslav</v>
      </c>
      <c r="FT20" s="45" t="str">
        <f>IF('Seznam zápasů'!F297="","",'Seznam zápasů'!F297)</f>
        <v>092</v>
      </c>
      <c r="FU20" s="39" t="str">
        <f>IF('Seznam zápasů'!G297="","",'Seznam zápasů'!G297)</f>
        <v/>
      </c>
      <c r="FV20" s="39" t="str">
        <f>IF('Seznam zápasů'!H297="","",'Seznam zápasů'!H297)</f>
        <v/>
      </c>
      <c r="FW20" s="39" t="str">
        <f>IF('Seznam zápasů'!I297="","",'Seznam zápasů'!I297)</f>
        <v/>
      </c>
      <c r="FX20" s="39" t="str">
        <f ca="1">IF('Seznam zápasů'!J297="","",'Seznam zápasů'!J297)</f>
        <v>Nadcházející</v>
      </c>
    </row>
    <row r="21" spans="1:180" x14ac:dyDescent="0.2">
      <c r="A21" s="42">
        <f>IF('Seznam zápasů'!A344="","",'Seznam zápasů'!A344)</f>
        <v>46459</v>
      </c>
      <c r="B21" s="39" t="str">
        <f>IF('Seznam zápasů'!B344="","",'Seznam zápasů'!B344)</f>
        <v>So</v>
      </c>
      <c r="C21" s="39" t="str">
        <f>IF('Seznam zápasů'!D344="","",'Seznam zápasů'!D344)</f>
        <v>SBLM</v>
      </c>
      <c r="D21" s="39" t="str">
        <f>IF('Seznam zápasů'!E344="","",'Seznam zápasů'!E344)</f>
        <v>BK Beroun</v>
      </c>
      <c r="E21" s="45" t="str">
        <f>IF('Seznam zápasů'!F344="","",'Seznam zápasů'!F344)</f>
        <v>129</v>
      </c>
      <c r="F21" s="39" t="str">
        <f>IF('Seznam zápasů'!G344="","",'Seznam zápasů'!G344)</f>
        <v/>
      </c>
      <c r="G21" s="39" t="str">
        <f>IF('Seznam zápasů'!H344="","",'Seznam zápasů'!H344)</f>
        <v/>
      </c>
      <c r="H21" s="39" t="str">
        <f>IF('Seznam zápasů'!I344="","",'Seznam zápasů'!I344)</f>
        <v/>
      </c>
      <c r="I21" s="39" t="str">
        <f ca="1">IF('Seznam zápasů'!J344="","",'Seznam zápasů'!J344)</f>
        <v>Nadcházející</v>
      </c>
      <c r="J21" s="42">
        <f>IF('Seznam zápasů'!A421="","",'Seznam zápasů'!A421)</f>
        <v>46501</v>
      </c>
      <c r="K21" s="39" t="str">
        <f>IF('Seznam zápasů'!B421="","",'Seznam zápasů'!B421)</f>
        <v>So</v>
      </c>
      <c r="L21" s="39" t="str">
        <f>IF('Seznam zápasů'!D421="","",'Seznam zápasů'!D421)</f>
        <v>KP</v>
      </c>
      <c r="M21" s="39" t="str">
        <f>IF('Seznam zápasů'!E421="","",'Seznam zápasů'!E421)</f>
        <v>F4</v>
      </c>
      <c r="N21" s="45" t="str">
        <f>IF('Seznam zápasů'!F421="","",'Seznam zápasů'!F421)</f>
        <v/>
      </c>
      <c r="O21" s="39" t="str">
        <f>IF('Seznam zápasů'!G421="","",'Seznam zápasů'!G421)</f>
        <v/>
      </c>
      <c r="P21" s="39" t="str">
        <f>IF('Seznam zápasů'!H421="","",'Seznam zápasů'!H421)</f>
        <v/>
      </c>
      <c r="Q21" s="39" t="str">
        <f>IF('Seznam zápasů'!I421="","",'Seznam zápasů'!I421)</f>
        <v/>
      </c>
      <c r="R21" s="39" t="str">
        <f ca="1">IF('Seznam zápasů'!J421="","",'Seznam zápasů'!J421)</f>
        <v>Nadcházející</v>
      </c>
      <c r="AB21" s="42">
        <f>IF('Seznam zápasů'!A409="","",'Seznam zápasů'!A409)</f>
        <v>46494</v>
      </c>
      <c r="AC21" s="39" t="str">
        <f>IF('Seznam zápasů'!B409="","",'Seznam zápasů'!B409)</f>
        <v>So</v>
      </c>
      <c r="AD21" s="39" t="str">
        <f>IF('Seznam zápasů'!D409="","",'Seznam zápasů'!D409)</f>
        <v>SBLŽ</v>
      </c>
      <c r="AE21" s="39" t="str">
        <f>IF('Seznam zápasů'!E409="","",'Seznam zápasů'!E409)</f>
        <v>F4</v>
      </c>
      <c r="AF21" s="45" t="str">
        <f>IF('Seznam zápasů'!F409="","",'Seznam zápasů'!F409)</f>
        <v/>
      </c>
      <c r="AG21" s="39" t="str">
        <f>IF('Seznam zápasů'!G409="","",'Seznam zápasů'!G409)</f>
        <v/>
      </c>
      <c r="AH21" s="39" t="str">
        <f>IF('Seznam zápasů'!H409="","",'Seznam zápasů'!H409)</f>
        <v/>
      </c>
      <c r="AI21" s="39" t="str">
        <f>IF('Seznam zápasů'!I409="","",'Seznam zápasů'!I409)</f>
        <v/>
      </c>
      <c r="AJ21" s="39" t="str">
        <f ca="1">IF('Seznam zápasů'!J409="","",'Seznam zápasů'!J409)</f>
        <v>Nadcházející</v>
      </c>
      <c r="AK21" s="42">
        <f>IF('Seznam zápasů'!A410="","",'Seznam zápasů'!A410)</f>
        <v>46494</v>
      </c>
      <c r="AL21" s="39" t="str">
        <f>IF('Seznam zápasů'!B410="","",'Seznam zápasů'!B410)</f>
        <v>So</v>
      </c>
      <c r="AM21" s="39" t="str">
        <f>IF('Seznam zápasů'!D410="","",'Seznam zápasů'!D410)</f>
        <v>SBLŽ</v>
      </c>
      <c r="AN21" s="39" t="str">
        <f>IF('Seznam zápasů'!E410="","",'Seznam zápasů'!E410)</f>
        <v>F4</v>
      </c>
      <c r="AO21" s="45" t="str">
        <f>IF('Seznam zápasů'!F410="","",'Seznam zápasů'!F410)</f>
        <v/>
      </c>
      <c r="AP21" s="39" t="str">
        <f>IF('Seznam zápasů'!G410="","",'Seznam zápasů'!G410)</f>
        <v/>
      </c>
      <c r="AQ21" s="39" t="str">
        <f>IF('Seznam zápasů'!H410="","",'Seznam zápasů'!H410)</f>
        <v/>
      </c>
      <c r="AR21" s="39" t="str">
        <f>IF('Seznam zápasů'!I410="","",'Seznam zápasů'!I410)</f>
        <v/>
      </c>
      <c r="AS21" s="39" t="str">
        <f ca="1">IF('Seznam zápasů'!J410="","",'Seznam zápasů'!J410)</f>
        <v>Nadcházející</v>
      </c>
      <c r="BC21" s="42">
        <f>IF('Seznam zápasů'!A340="","",'Seznam zápasů'!A340)</f>
        <v>46459</v>
      </c>
      <c r="BD21" s="39" t="str">
        <f>IF('Seznam zápasů'!B340="","",'Seznam zápasů'!B340)</f>
        <v>So</v>
      </c>
      <c r="BE21" s="39" t="str">
        <f>IF('Seznam zápasů'!D340="","",'Seznam zápasů'!D340)</f>
        <v>nadreg. liga</v>
      </c>
      <c r="BF21" s="39" t="str">
        <f>IF('Seznam zápasů'!E340="","",'Seznam zápasů'!E340)</f>
        <v>BA Lynx Liberecko B</v>
      </c>
      <c r="BG21" s="45" t="str">
        <f>IF('Seznam zápasů'!F340="","",'Seznam zápasů'!F340)</f>
        <v>17223</v>
      </c>
      <c r="BH21" s="39" t="str">
        <f>IF('Seznam zápasů'!G340="","",'Seznam zápasů'!G340)</f>
        <v/>
      </c>
      <c r="BI21" s="39" t="str">
        <f>IF('Seznam zápasů'!H340="","",'Seznam zápasů'!H340)</f>
        <v/>
      </c>
      <c r="BJ21" s="39" t="str">
        <f>IF('Seznam zápasů'!I340="","",'Seznam zápasů'!I340)</f>
        <v/>
      </c>
      <c r="BK21" s="39" t="str">
        <f ca="1">IF('Seznam zápasů'!J340="","",'Seznam zápasů'!J340)</f>
        <v>Nadcházející</v>
      </c>
      <c r="BL21" s="42">
        <f>IF('Seznam zápasů'!A328="","",'Seznam zápasů'!A328)</f>
        <v>46452</v>
      </c>
      <c r="BM21" s="39" t="str">
        <f>IF('Seznam zápasů'!B328="","",'Seznam zápasů'!B328)</f>
        <v>So</v>
      </c>
      <c r="BN21" s="39" t="str">
        <f>IF('Seznam zápasů'!D328="","",'Seznam zápasů'!D328)</f>
        <v>celostátní liga</v>
      </c>
      <c r="BO21" s="39" t="str">
        <f>IF('Seznam zápasů'!E328="","",'Seznam zápasů'!E328)</f>
        <v>F3, S3</v>
      </c>
      <c r="BP21" s="45" t="str">
        <f>IF('Seznam zápasů'!F328="","",'Seznam zápasů'!F328)</f>
        <v/>
      </c>
      <c r="BQ21" s="39" t="str">
        <f>IF('Seznam zápasů'!G328="","",'Seznam zápasů'!G328)</f>
        <v/>
      </c>
      <c r="BR21" s="39" t="str">
        <f>IF('Seznam zápasů'!H328="","",'Seznam zápasů'!H328)</f>
        <v/>
      </c>
      <c r="BS21" s="39" t="str">
        <f>IF('Seznam zápasů'!I328="","",'Seznam zápasů'!I328)</f>
        <v/>
      </c>
      <c r="BT21" s="39" t="str">
        <f ca="1">IF('Seznam zápasů'!J328="","",'Seznam zápasů'!J328)</f>
        <v>Nadcházející</v>
      </c>
      <c r="BU21" s="42">
        <f>IF('Seznam zápasů'!A341="","",'Seznam zápasů'!A341)</f>
        <v>46459</v>
      </c>
      <c r="BV21" s="39" t="str">
        <f>IF('Seznam zápasů'!B341="","",'Seznam zápasů'!B341)</f>
        <v>So</v>
      </c>
      <c r="BW21" s="39" t="str">
        <f>IF('Seznam zápasů'!D341="","",'Seznam zápasů'!D341)</f>
        <v>nadreg. liga</v>
      </c>
      <c r="BX21" s="39" t="str">
        <f>IF('Seznam zápasů'!E341="","",'Seznam zápasů'!E341)</f>
        <v>Válečnice Děčín B</v>
      </c>
      <c r="BY21" s="45" t="str">
        <f>IF('Seznam zápasů'!F341="","",'Seznam zápasů'!F341)</f>
        <v>17644</v>
      </c>
      <c r="BZ21" s="39" t="str">
        <f>IF('Seznam zápasů'!G341="","",'Seznam zápasů'!G341)</f>
        <v/>
      </c>
      <c r="CA21" s="39" t="str">
        <f>IF('Seznam zápasů'!H341="","",'Seznam zápasů'!H341)</f>
        <v/>
      </c>
      <c r="CB21" s="39" t="str">
        <f>IF('Seznam zápasů'!I341="","",'Seznam zápasů'!I341)</f>
        <v/>
      </c>
      <c r="CC21" s="39" t="str">
        <f ca="1">IF('Seznam zápasů'!J341="","",'Seznam zápasů'!J341)</f>
        <v>Nadcházející</v>
      </c>
      <c r="CD21" s="42">
        <f>IF('Seznam zápasů'!A360="","",'Seznam zápasů'!A360)</f>
        <v>46466</v>
      </c>
      <c r="CE21" s="39" t="str">
        <f>IF('Seznam zápasů'!B360="","",'Seznam zápasů'!B360)</f>
        <v>So</v>
      </c>
      <c r="CF21" s="39" t="str">
        <f>IF('Seznam zápasů'!D360="","",'Seznam zápasů'!D360)</f>
        <v>žákovská liga</v>
      </c>
      <c r="CG21" s="39" t="str">
        <f>IF('Seznam zápasů'!E360="","",'Seznam zápasů'!E360)</f>
        <v>F3, S3</v>
      </c>
      <c r="CH21" s="45" t="str">
        <f>IF('Seznam zápasů'!F360="","",'Seznam zápasů'!F360)</f>
        <v/>
      </c>
      <c r="CI21" s="39" t="str">
        <f>IF('Seznam zápasů'!G360="","",'Seznam zápasů'!G360)</f>
        <v/>
      </c>
      <c r="CJ21" s="39" t="str">
        <f>IF('Seznam zápasů'!H360="","",'Seznam zápasů'!H360)</f>
        <v/>
      </c>
      <c r="CK21" s="39" t="str">
        <f>IF('Seznam zápasů'!I360="","",'Seznam zápasů'!I360)</f>
        <v/>
      </c>
      <c r="CL21" s="39" t="str">
        <f ca="1">IF('Seznam zápasů'!J360="","",'Seznam zápasů'!J360)</f>
        <v>Nadcházející</v>
      </c>
      <c r="CM21" s="42">
        <f>IF('Seznam zápasů'!A361="","",'Seznam zápasů'!A361)</f>
        <v>46466</v>
      </c>
      <c r="CN21" s="39" t="str">
        <f>IF('Seznam zápasů'!B361="","",'Seznam zápasů'!B361)</f>
        <v>So</v>
      </c>
      <c r="CO21" s="39" t="str">
        <f>IF('Seznam zápasů'!D361="","",'Seznam zápasů'!D361)</f>
        <v>žákovská liga</v>
      </c>
      <c r="CP21" s="39" t="str">
        <f>IF('Seznam zápasů'!E361="","",'Seznam zápasů'!E361)</f>
        <v>F3, S3</v>
      </c>
      <c r="CQ21" s="45" t="str">
        <f>IF('Seznam zápasů'!F361="","",'Seznam zápasů'!F361)</f>
        <v/>
      </c>
      <c r="CR21" s="39" t="str">
        <f>IF('Seznam zápasů'!G361="","",'Seznam zápasů'!G361)</f>
        <v/>
      </c>
      <c r="CS21" s="39" t="str">
        <f>IF('Seznam zápasů'!H361="","",'Seznam zápasů'!H361)</f>
        <v/>
      </c>
      <c r="CT21" s="39" t="str">
        <f>IF('Seznam zápasů'!I361="","",'Seznam zápasů'!I361)</f>
        <v/>
      </c>
      <c r="CU21" s="39" t="str">
        <f ca="1">IF('Seznam zápasů'!J361="","",'Seznam zápasů'!J361)</f>
        <v>Nadcházející</v>
      </c>
      <c r="DE21" s="42">
        <f>IF('Seznam zápasů'!A317="","",'Seznam zápasů'!A317)</f>
        <v>46439</v>
      </c>
      <c r="DF21" s="39" t="str">
        <f>IF('Seznam zápasů'!B317="","",'Seznam zápasů'!B317)</f>
        <v>Ne</v>
      </c>
      <c r="DG21" s="39" t="str">
        <f>IF('Seznam zápasů'!D317="","",'Seznam zápasů'!D317)</f>
        <v>žákovská liga</v>
      </c>
      <c r="DH21" s="39" t="str">
        <f>IF('Seznam zápasů'!E317="","",'Seznam zápasů'!E317)</f>
        <v>F3, S3</v>
      </c>
      <c r="DI21" s="45" t="str">
        <f>IF('Seznam zápasů'!F317="","",'Seznam zápasů'!F317)</f>
        <v/>
      </c>
      <c r="DJ21" s="39" t="str">
        <f>IF('Seznam zápasů'!G317="","",'Seznam zápasů'!G317)</f>
        <v/>
      </c>
      <c r="DK21" s="39" t="str">
        <f>IF('Seznam zápasů'!H317="","",'Seznam zápasů'!H317)</f>
        <v/>
      </c>
      <c r="DL21" s="39" t="str">
        <f>IF('Seznam zápasů'!I317="","",'Seznam zápasů'!I317)</f>
        <v/>
      </c>
      <c r="DM21" s="39" t="str">
        <f ca="1">IF('Seznam zápasů'!J317="","",'Seznam zápasů'!J317)</f>
        <v>Nadcházející</v>
      </c>
      <c r="DN21" s="42">
        <f>IF('Seznam zápasů'!A352="","",'Seznam zápasů'!A352)</f>
        <v>46460</v>
      </c>
      <c r="DO21" s="39" t="str">
        <f>IF('Seznam zápasů'!B352="","",'Seznam zápasů'!B352)</f>
        <v>Ne</v>
      </c>
      <c r="DP21" s="39" t="str">
        <f>IF('Seznam zápasů'!D352="","",'Seznam zápasů'!D352)</f>
        <v>žákovská liga</v>
      </c>
      <c r="DQ21" s="39" t="str">
        <f>IF('Seznam zápasů'!E352="","",'Seznam zápasů'!E352)</f>
        <v>F1´, S1</v>
      </c>
      <c r="DR21" s="45" t="str">
        <f>IF('Seznam zápasů'!F352="","",'Seznam zápasů'!F352)</f>
        <v/>
      </c>
      <c r="DS21" s="39" t="str">
        <f>IF('Seznam zápasů'!G352="","",'Seznam zápasů'!G352)</f>
        <v/>
      </c>
      <c r="DT21" s="39" t="str">
        <f>IF('Seznam zápasů'!H352="","",'Seznam zápasů'!H352)</f>
        <v/>
      </c>
      <c r="DU21" s="39" t="str">
        <f>IF('Seznam zápasů'!I352="","",'Seznam zápasů'!I352)</f>
        <v/>
      </c>
      <c r="DV21" s="39" t="str">
        <f ca="1">IF('Seznam zápasů'!J352="","",'Seznam zápasů'!J352)</f>
        <v>Nadcházející</v>
      </c>
      <c r="FP21" s="42">
        <f>IF('Seznam zápasů'!A322="","",'Seznam zápasů'!A322)</f>
        <v>46445</v>
      </c>
      <c r="FQ21" s="39" t="str">
        <f>IF('Seznam zápasů'!B322="","",'Seznam zápasů'!B322)</f>
        <v>So</v>
      </c>
      <c r="FR21" s="39" t="str">
        <f>IF('Seznam zápasů'!D322="","",'Seznam zápasů'!D322)</f>
        <v>KP + kval. o NF</v>
      </c>
      <c r="FS21" s="39" t="str">
        <f>IF('Seznam zápasů'!E322="","",'Seznam zápasů'!E322)</f>
        <v>BK Kralupy Junior</v>
      </c>
      <c r="FT21" s="45" t="str">
        <f>IF('Seznam zápasů'!F322="","",'Seznam zápasů'!F322)</f>
        <v>101</v>
      </c>
      <c r="FU21" s="39" t="str">
        <f>IF('Seznam zápasů'!G322="","",'Seznam zápasů'!G322)</f>
        <v/>
      </c>
      <c r="FV21" s="39" t="str">
        <f>IF('Seznam zápasů'!H322="","",'Seznam zápasů'!H322)</f>
        <v/>
      </c>
      <c r="FW21" s="39" t="str">
        <f>IF('Seznam zápasů'!I322="","",'Seznam zápasů'!I322)</f>
        <v/>
      </c>
      <c r="FX21" s="39" t="str">
        <f ca="1">IF('Seznam zápasů'!J322="","",'Seznam zápasů'!J322)</f>
        <v>Nadcházející</v>
      </c>
    </row>
    <row r="22" spans="1:180" x14ac:dyDescent="0.2">
      <c r="A22" s="42">
        <f>IF('Seznam zápasů'!A350="","",'Seznam zápasů'!A350)</f>
        <v>46460</v>
      </c>
      <c r="B22" s="39" t="str">
        <f>IF('Seznam zápasů'!B350="","",'Seznam zápasů'!B350)</f>
        <v>Ne</v>
      </c>
      <c r="C22" s="39" t="str">
        <f>IF('Seznam zápasů'!D350="","",'Seznam zápasů'!D350)</f>
        <v>SBLM</v>
      </c>
      <c r="D22" s="39" t="str">
        <f>IF('Seznam zápasů'!E350="","",'Seznam zápasů'!E350)</f>
        <v>BK Příbram 2000</v>
      </c>
      <c r="E22" s="45" t="str">
        <f>IF('Seznam zápasů'!F350="","",'Seznam zápasů'!F350)</f>
        <v>134</v>
      </c>
      <c r="F22" s="39" t="str">
        <f>IF('Seznam zápasů'!G350="","",'Seznam zápasů'!G350)</f>
        <v/>
      </c>
      <c r="G22" s="39" t="str">
        <f>IF('Seznam zápasů'!H350="","",'Seznam zápasů'!H350)</f>
        <v/>
      </c>
      <c r="H22" s="39" t="str">
        <f>IF('Seznam zápasů'!I350="","",'Seznam zápasů'!I350)</f>
        <v/>
      </c>
      <c r="I22" s="39" t="str">
        <f ca="1">IF('Seznam zápasů'!J350="","",'Seznam zápasů'!J350)</f>
        <v>Nadcházející</v>
      </c>
      <c r="J22" s="43">
        <f>IF('Seznam zápasů'!A424="","",'Seznam zápasů'!A424)</f>
        <v>46502</v>
      </c>
      <c r="K22" s="40" t="str">
        <f>IF('Seznam zápasů'!B424="","",'Seznam zápasů'!B424)</f>
        <v>Ne</v>
      </c>
      <c r="L22" s="40" t="str">
        <f>IF('Seznam zápasů'!D424="","",'Seznam zápasů'!D424)</f>
        <v>KP</v>
      </c>
      <c r="M22" s="40" t="str">
        <f>IF('Seznam zápasů'!E424="","",'Seznam zápasů'!E424)</f>
        <v>F4</v>
      </c>
      <c r="N22" s="46" t="str">
        <f>IF('Seznam zápasů'!F424="","",'Seznam zápasů'!F424)</f>
        <v/>
      </c>
      <c r="O22" s="40" t="str">
        <f>IF('Seznam zápasů'!G424="","",'Seznam zápasů'!G424)</f>
        <v/>
      </c>
      <c r="P22" s="40" t="str">
        <f>IF('Seznam zápasů'!H424="","",'Seznam zápasů'!H424)</f>
        <v/>
      </c>
      <c r="Q22" s="40" t="str">
        <f>IF('Seznam zápasů'!I424="","",'Seznam zápasů'!I424)</f>
        <v/>
      </c>
      <c r="R22" s="40" t="str">
        <f ca="1">IF('Seznam zápasů'!J424="","",'Seznam zápasů'!J424)</f>
        <v>Nadcházející</v>
      </c>
      <c r="AB22" s="43">
        <f>IF('Seznam zápasů'!A416="","",'Seznam zápasů'!A416)</f>
        <v>46495</v>
      </c>
      <c r="AC22" s="40" t="str">
        <f>IF('Seznam zápasů'!B416="","",'Seznam zápasů'!B416)</f>
        <v>Ne</v>
      </c>
      <c r="AD22" s="40" t="str">
        <f>IF('Seznam zápasů'!D416="","",'Seznam zápasů'!D416)</f>
        <v>SBLŽ</v>
      </c>
      <c r="AE22" s="40" t="str">
        <f>IF('Seznam zápasů'!E416="","",'Seznam zápasů'!E416)</f>
        <v>F4</v>
      </c>
      <c r="AF22" s="46" t="str">
        <f>IF('Seznam zápasů'!F416="","",'Seznam zápasů'!F416)</f>
        <v/>
      </c>
      <c r="AG22" s="40" t="str">
        <f>IF('Seznam zápasů'!G416="","",'Seznam zápasů'!G416)</f>
        <v/>
      </c>
      <c r="AH22" s="40" t="str">
        <f>IF('Seznam zápasů'!H416="","",'Seznam zápasů'!H416)</f>
        <v/>
      </c>
      <c r="AI22" s="40" t="str">
        <f>IF('Seznam zápasů'!I416="","",'Seznam zápasů'!I416)</f>
        <v/>
      </c>
      <c r="AJ22" s="40" t="str">
        <f ca="1">IF('Seznam zápasů'!J416="","",'Seznam zápasů'!J416)</f>
        <v>Nadcházející</v>
      </c>
      <c r="AK22" s="43">
        <f>IF('Seznam zápasů'!A417="","",'Seznam zápasů'!A417)</f>
        <v>46495</v>
      </c>
      <c r="AL22" s="40" t="str">
        <f>IF('Seznam zápasů'!B417="","",'Seznam zápasů'!B417)</f>
        <v>Ne</v>
      </c>
      <c r="AM22" s="40" t="str">
        <f>IF('Seznam zápasů'!D417="","",'Seznam zápasů'!D417)</f>
        <v>SBLŽ</v>
      </c>
      <c r="AN22" s="40" t="str">
        <f>IF('Seznam zápasů'!E417="","",'Seznam zápasů'!E417)</f>
        <v>F4</v>
      </c>
      <c r="AO22" s="46" t="str">
        <f>IF('Seznam zápasů'!F417="","",'Seznam zápasů'!F417)</f>
        <v/>
      </c>
      <c r="AP22" s="40" t="str">
        <f>IF('Seznam zápasů'!G417="","",'Seznam zápasů'!G417)</f>
        <v/>
      </c>
      <c r="AQ22" s="40" t="str">
        <f>IF('Seznam zápasů'!H417="","",'Seznam zápasů'!H417)</f>
        <v/>
      </c>
      <c r="AR22" s="40" t="str">
        <f>IF('Seznam zápasů'!I417="","",'Seznam zápasů'!I417)</f>
        <v/>
      </c>
      <c r="AS22" s="40" t="str">
        <f ca="1">IF('Seznam zápasů'!J417="","",'Seznam zápasů'!J417)</f>
        <v>Nadcházející</v>
      </c>
      <c r="BC22" s="42">
        <f>IF('Seznam zápasů'!A347="","",'Seznam zápasů'!A347)</f>
        <v>46460</v>
      </c>
      <c r="BD22" s="39" t="str">
        <f>IF('Seznam zápasů'!B347="","",'Seznam zápasů'!B347)</f>
        <v>Ne</v>
      </c>
      <c r="BE22" s="39" t="str">
        <f>IF('Seznam zápasů'!D347="","",'Seznam zápasů'!D347)</f>
        <v>nadreg. liga</v>
      </c>
      <c r="BF22" s="39" t="str">
        <f>IF('Seznam zápasů'!E347="","",'Seznam zápasů'!E347)</f>
        <v>TJ Slovan Varnsdorf B</v>
      </c>
      <c r="BG22" s="45" t="str">
        <f>IF('Seznam zápasů'!F347="","",'Seznam zápasů'!F347)</f>
        <v>17228</v>
      </c>
      <c r="BH22" s="39" t="str">
        <f>IF('Seznam zápasů'!G347="","",'Seznam zápasů'!G347)</f>
        <v/>
      </c>
      <c r="BI22" s="39" t="str">
        <f>IF('Seznam zápasů'!H347="","",'Seznam zápasů'!H347)</f>
        <v/>
      </c>
      <c r="BJ22" s="39" t="str">
        <f>IF('Seznam zápasů'!I347="","",'Seznam zápasů'!I347)</f>
        <v/>
      </c>
      <c r="BK22" s="39" t="str">
        <f ca="1">IF('Seznam zápasů'!J347="","",'Seznam zápasů'!J347)</f>
        <v>Nadcházející</v>
      </c>
      <c r="BL22" s="42">
        <f>IF('Seznam zápasů'!A335="","",'Seznam zápasů'!A335)</f>
        <v>46453</v>
      </c>
      <c r="BM22" s="39" t="str">
        <f>IF('Seznam zápasů'!B335="","",'Seznam zápasů'!B335)</f>
        <v>Ne</v>
      </c>
      <c r="BN22" s="39" t="str">
        <f>IF('Seznam zápasů'!D335="","",'Seznam zápasů'!D335)</f>
        <v>celostátní liga</v>
      </c>
      <c r="BO22" s="39" t="str">
        <f>IF('Seznam zápasů'!E335="","",'Seznam zápasů'!E335)</f>
        <v>F3, S3</v>
      </c>
      <c r="BP22" s="45" t="str">
        <f>IF('Seznam zápasů'!F335="","",'Seznam zápasů'!F335)</f>
        <v/>
      </c>
      <c r="BQ22" s="39" t="str">
        <f>IF('Seznam zápasů'!G335="","",'Seznam zápasů'!G335)</f>
        <v/>
      </c>
      <c r="BR22" s="39" t="str">
        <f>IF('Seznam zápasů'!H335="","",'Seznam zápasů'!H335)</f>
        <v/>
      </c>
      <c r="BS22" s="39" t="str">
        <f>IF('Seznam zápasů'!I335="","",'Seznam zápasů'!I335)</f>
        <v/>
      </c>
      <c r="BT22" s="39" t="str">
        <f ca="1">IF('Seznam zápasů'!J335="","",'Seznam zápasů'!J335)</f>
        <v>Nadcházející</v>
      </c>
      <c r="BU22" s="42">
        <f>IF('Seznam zápasů'!A348="","",'Seznam zápasů'!A348)</f>
        <v>46460</v>
      </c>
      <c r="BV22" s="39" t="str">
        <f>IF('Seznam zápasů'!B348="","",'Seznam zápasů'!B348)</f>
        <v>Ne</v>
      </c>
      <c r="BW22" s="39" t="str">
        <f>IF('Seznam zápasů'!D348="","",'Seznam zápasů'!D348)</f>
        <v>nadreg. liga</v>
      </c>
      <c r="BX22" s="39" t="str">
        <f>IF('Seznam zápasů'!E348="","",'Seznam zápasů'!E348)</f>
        <v>BK Teplice</v>
      </c>
      <c r="BY22" s="45" t="str">
        <f>IF('Seznam zápasů'!F348="","",'Seznam zápasů'!F348)</f>
        <v>17650</v>
      </c>
      <c r="BZ22" s="39" t="str">
        <f>IF('Seznam zápasů'!G348="","",'Seznam zápasů'!G348)</f>
        <v/>
      </c>
      <c r="CA22" s="39" t="str">
        <f>IF('Seznam zápasů'!H348="","",'Seznam zápasů'!H348)</f>
        <v/>
      </c>
      <c r="CB22" s="39" t="str">
        <f>IF('Seznam zápasů'!I348="","",'Seznam zápasů'!I348)</f>
        <v/>
      </c>
      <c r="CC22" s="39" t="str">
        <f ca="1">IF('Seznam zápasů'!J348="","",'Seznam zápasů'!J348)</f>
        <v>Nadcházející</v>
      </c>
      <c r="CD22" s="42">
        <f>IF('Seznam zápasů'!A366="","",'Seznam zápasů'!A366)</f>
        <v>46467</v>
      </c>
      <c r="CE22" s="39" t="str">
        <f>IF('Seznam zápasů'!B366="","",'Seznam zápasů'!B366)</f>
        <v>Ne</v>
      </c>
      <c r="CF22" s="39" t="str">
        <f>IF('Seznam zápasů'!D366="","",'Seznam zápasů'!D366)</f>
        <v>žákovská liga</v>
      </c>
      <c r="CG22" s="39" t="str">
        <f>IF('Seznam zápasů'!E366="","",'Seznam zápasů'!E366)</f>
        <v>F3, S3</v>
      </c>
      <c r="CH22" s="45" t="str">
        <f>IF('Seznam zápasů'!F366="","",'Seznam zápasů'!F366)</f>
        <v/>
      </c>
      <c r="CI22" s="39" t="str">
        <f>IF('Seznam zápasů'!G366="","",'Seznam zápasů'!G366)</f>
        <v/>
      </c>
      <c r="CJ22" s="39" t="str">
        <f>IF('Seznam zápasů'!H366="","",'Seznam zápasů'!H366)</f>
        <v/>
      </c>
      <c r="CK22" s="39" t="str">
        <f>IF('Seznam zápasů'!I366="","",'Seznam zápasů'!I366)</f>
        <v/>
      </c>
      <c r="CL22" s="39" t="str">
        <f ca="1">IF('Seznam zápasů'!J366="","",'Seznam zápasů'!J366)</f>
        <v>Nadcházející</v>
      </c>
      <c r="CM22" s="42">
        <f>IF('Seznam zápasů'!A367="","",'Seznam zápasů'!A367)</f>
        <v>46467</v>
      </c>
      <c r="CN22" s="39" t="str">
        <f>IF('Seznam zápasů'!B367="","",'Seznam zápasů'!B367)</f>
        <v>Ne</v>
      </c>
      <c r="CO22" s="39" t="str">
        <f>IF('Seznam zápasů'!D367="","",'Seznam zápasů'!D367)</f>
        <v>žákovská liga</v>
      </c>
      <c r="CP22" s="39" t="str">
        <f>IF('Seznam zápasů'!E367="","",'Seznam zápasů'!E367)</f>
        <v>F3, S3</v>
      </c>
      <c r="CQ22" s="45" t="str">
        <f>IF('Seznam zápasů'!F367="","",'Seznam zápasů'!F367)</f>
        <v/>
      </c>
      <c r="CR22" s="39" t="str">
        <f>IF('Seznam zápasů'!G367="","",'Seznam zápasů'!G367)</f>
        <v/>
      </c>
      <c r="CS22" s="39" t="str">
        <f>IF('Seznam zápasů'!H367="","",'Seznam zápasů'!H367)</f>
        <v/>
      </c>
      <c r="CT22" s="39" t="str">
        <f>IF('Seznam zápasů'!I367="","",'Seznam zápasů'!I367)</f>
        <v/>
      </c>
      <c r="CU22" s="39" t="str">
        <f ca="1">IF('Seznam zápasů'!J367="","",'Seznam zápasů'!J367)</f>
        <v>Nadcházející</v>
      </c>
      <c r="DE22" s="42">
        <f>IF('Seznam zápasů'!A345="","",'Seznam zápasů'!A345)</f>
        <v>46459</v>
      </c>
      <c r="DF22" s="39" t="str">
        <f>IF('Seznam zápasů'!B345="","",'Seznam zápasů'!B345)</f>
        <v>So</v>
      </c>
      <c r="DG22" s="39" t="str">
        <f>IF('Seznam zápasů'!D345="","",'Seznam zápasů'!D345)</f>
        <v>žákovská liga</v>
      </c>
      <c r="DH22" s="39" t="str">
        <f>IF('Seznam zápasů'!E345="","",'Seznam zápasů'!E345)</f>
        <v>F1´, S1</v>
      </c>
      <c r="DI22" s="45" t="str">
        <f>IF('Seznam zápasů'!F345="","",'Seznam zápasů'!F345)</f>
        <v/>
      </c>
      <c r="DJ22" s="39" t="str">
        <f>IF('Seznam zápasů'!G345="","",'Seznam zápasů'!G345)</f>
        <v/>
      </c>
      <c r="DK22" s="39" t="str">
        <f>IF('Seznam zápasů'!H345="","",'Seznam zápasů'!H345)</f>
        <v/>
      </c>
      <c r="DL22" s="39" t="str">
        <f>IF('Seznam zápasů'!I345="","",'Seznam zápasů'!I345)</f>
        <v/>
      </c>
      <c r="DM22" s="39" t="str">
        <f ca="1">IF('Seznam zápasů'!J345="","",'Seznam zápasů'!J345)</f>
        <v>Nadcházející</v>
      </c>
      <c r="DN22" s="42">
        <f>IF('Seznam zápasů'!A355="","",'Seznam zápasů'!A355)</f>
        <v>46463</v>
      </c>
      <c r="DO22" s="39" t="str">
        <f>IF('Seznam zápasů'!B355="","",'Seznam zápasů'!B355)</f>
        <v>St</v>
      </c>
      <c r="DP22" s="39" t="str">
        <f>IF('Seznam zápasů'!D355="","",'Seznam zápasů'!D355)</f>
        <v>žákovská liga</v>
      </c>
      <c r="DQ22" s="39" t="str">
        <f>IF('Seznam zápasů'!E355="","",'Seznam zápasů'!E355)</f>
        <v>FD´, SD´</v>
      </c>
      <c r="DR22" s="45" t="str">
        <f>IF('Seznam zápasů'!F355="","",'Seznam zápasů'!F355)</f>
        <v/>
      </c>
      <c r="DS22" s="39" t="str">
        <f>IF('Seznam zápasů'!G355="","",'Seznam zápasů'!G355)</f>
        <v/>
      </c>
      <c r="DT22" s="39" t="str">
        <f>IF('Seznam zápasů'!H355="","",'Seznam zápasů'!H355)</f>
        <v/>
      </c>
      <c r="DU22" s="39" t="str">
        <f>IF('Seznam zápasů'!I355="","",'Seznam zápasů'!I355)</f>
        <v/>
      </c>
      <c r="DV22" s="39" t="str">
        <f ca="1">IF('Seznam zápasů'!J355="","",'Seznam zápasů'!J355)</f>
        <v>Nadcházející</v>
      </c>
      <c r="FP22" s="42">
        <f>IF('Seznam zápasů'!A325="","",'Seznam zápasů'!A325)</f>
        <v>46446</v>
      </c>
      <c r="FQ22" s="39" t="str">
        <f>IF('Seznam zápasů'!B325="","",'Seznam zápasů'!B325)</f>
        <v>Ne</v>
      </c>
      <c r="FR22" s="39" t="str">
        <f>IF('Seznam zápasů'!D325="","",'Seznam zápasů'!D325)</f>
        <v>KP + kval. o NF</v>
      </c>
      <c r="FS22" s="39" t="str">
        <f>IF('Seznam zápasů'!E325="","",'Seznam zápasů'!E325)</f>
        <v>BC Slaný</v>
      </c>
      <c r="FT22" s="45" t="str">
        <f>IF('Seznam zápasů'!F325="","",'Seznam zápasů'!F325)</f>
        <v>108</v>
      </c>
      <c r="FU22" s="39" t="str">
        <f>IF('Seznam zápasů'!G325="","",'Seznam zápasů'!G325)</f>
        <v/>
      </c>
      <c r="FV22" s="39" t="str">
        <f>IF('Seznam zápasů'!H325="","",'Seznam zápasů'!H325)</f>
        <v/>
      </c>
      <c r="FW22" s="39" t="str">
        <f>IF('Seznam zápasů'!I325="","",'Seznam zápasů'!I325)</f>
        <v/>
      </c>
      <c r="FX22" s="39" t="str">
        <f ca="1">IF('Seznam zápasů'!J325="","",'Seznam zápasů'!J325)</f>
        <v>Nadcházející</v>
      </c>
    </row>
    <row r="23" spans="1:180" x14ac:dyDescent="0.2">
      <c r="A23" s="42">
        <f>IF('Seznam zápasů'!A377="","",'Seznam zápasů'!A377)</f>
        <v>46480</v>
      </c>
      <c r="B23" s="39" t="str">
        <f>IF('Seznam zápasů'!B377="","",'Seznam zápasů'!B377)</f>
        <v>So</v>
      </c>
      <c r="C23" s="39" t="str">
        <f>IF('Seznam zápasů'!D377="","",'Seznam zápasů'!D377)</f>
        <v>SBLM</v>
      </c>
      <c r="D23" s="39" t="str">
        <f>IF('Seznam zápasů'!E377="","",'Seznam zápasů'!E377)</f>
        <v>Basket Poděbrady "B"</v>
      </c>
      <c r="E23" s="45" t="str">
        <f>IF('Seznam zápasů'!F377="","",'Seznam zápasů'!F377)</f>
        <v>136</v>
      </c>
      <c r="F23" s="39" t="str">
        <f>IF('Seznam zápasů'!G377="","",'Seznam zápasů'!G377)</f>
        <v/>
      </c>
      <c r="G23" s="39" t="str">
        <f>IF('Seznam zápasů'!H377="","",'Seznam zápasů'!H377)</f>
        <v/>
      </c>
      <c r="H23" s="39" t="str">
        <f>IF('Seznam zápasů'!I377="","",'Seznam zápasů'!I377)</f>
        <v/>
      </c>
      <c r="I23" s="39" t="str">
        <f ca="1">IF('Seznam zápasů'!J377="","",'Seznam zápasů'!J377)</f>
        <v>Nadcházející</v>
      </c>
      <c r="BC23" s="42">
        <f>IF('Seznam zápasů'!A370="","",'Seznam zápasů'!A370)</f>
        <v>46480</v>
      </c>
      <c r="BD23" s="39" t="str">
        <f>IF('Seznam zápasů'!B370="","",'Seznam zápasů'!B370)</f>
        <v>So</v>
      </c>
      <c r="BE23" s="39" t="str">
        <f>IF('Seznam zápasů'!D370="","",'Seznam zápasů'!D370)</f>
        <v>nadreg. liga</v>
      </c>
      <c r="BF23" s="39" t="str">
        <f>IF('Seznam zápasů'!E370="","",'Seznam zápasů'!E370)</f>
        <v>Basketbal Újezd nad Lesy</v>
      </c>
      <c r="BG23" s="45" t="str">
        <f>IF('Seznam zápasů'!F370="","",'Seznam zápasů'!F370)</f>
        <v>17235</v>
      </c>
      <c r="BH23" s="39" t="str">
        <f>IF('Seznam zápasů'!G370="","",'Seznam zápasů'!G370)</f>
        <v/>
      </c>
      <c r="BI23" s="39" t="str">
        <f>IF('Seznam zápasů'!H370="","",'Seznam zápasů'!H370)</f>
        <v/>
      </c>
      <c r="BJ23" s="39" t="str">
        <f>IF('Seznam zápasů'!I370="","",'Seznam zápasů'!I370)</f>
        <v/>
      </c>
      <c r="BK23" s="39" t="str">
        <f ca="1">IF('Seznam zápasů'!J370="","",'Seznam zápasů'!J370)</f>
        <v>Nadcházející</v>
      </c>
      <c r="BL23" s="42">
        <f>IF('Seznam zápasů'!A371="","",'Seznam zápasů'!A371)</f>
        <v>46480</v>
      </c>
      <c r="BM23" s="39" t="str">
        <f>IF('Seznam zápasů'!B371="","",'Seznam zápasů'!B371)</f>
        <v>So</v>
      </c>
      <c r="BN23" s="39" t="str">
        <f>IF('Seznam zápasů'!D371="","",'Seznam zápasů'!D371)</f>
        <v>celostátní liga</v>
      </c>
      <c r="BO23" s="39" t="str">
        <f>IF('Seznam zápasů'!E371="","",'Seznam zápasů'!E371)</f>
        <v>F4, S4</v>
      </c>
      <c r="BP23" s="45" t="str">
        <f>IF('Seznam zápasů'!F371="","",'Seznam zápasů'!F371)</f>
        <v/>
      </c>
      <c r="BQ23" s="39" t="str">
        <f>IF('Seznam zápasů'!G371="","",'Seznam zápasů'!G371)</f>
        <v/>
      </c>
      <c r="BR23" s="39" t="str">
        <f>IF('Seznam zápasů'!H371="","",'Seznam zápasů'!H371)</f>
        <v/>
      </c>
      <c r="BS23" s="39" t="str">
        <f>IF('Seznam zápasů'!I371="","",'Seznam zápasů'!I371)</f>
        <v/>
      </c>
      <c r="BT23" s="39" t="str">
        <f ca="1">IF('Seznam zápasů'!J371="","",'Seznam zápasů'!J371)</f>
        <v>Nadcházející</v>
      </c>
      <c r="BU23" s="42">
        <f>IF('Seznam zápasů'!A372="","",'Seznam zápasů'!A372)</f>
        <v>46480</v>
      </c>
      <c r="BV23" s="39" t="str">
        <f>IF('Seznam zápasů'!B372="","",'Seznam zápasů'!B372)</f>
        <v>So</v>
      </c>
      <c r="BW23" s="39" t="str">
        <f>IF('Seznam zápasů'!D372="","",'Seznam zápasů'!D372)</f>
        <v>nadreg. liga</v>
      </c>
      <c r="BX23" s="39" t="str">
        <f>IF('Seznam zápasů'!E372="","",'Seznam zápasů'!E372)</f>
        <v>BC Wizards</v>
      </c>
      <c r="BY23" s="45" t="str">
        <f>IF('Seznam zápasů'!F372="","",'Seznam zápasů'!F372)</f>
        <v>17654</v>
      </c>
      <c r="BZ23" s="39" t="str">
        <f>IF('Seznam zápasů'!G372="","",'Seznam zápasů'!G372)</f>
        <v/>
      </c>
      <c r="CA23" s="39" t="str">
        <f>IF('Seznam zápasů'!H372="","",'Seznam zápasů'!H372)</f>
        <v/>
      </c>
      <c r="CB23" s="39" t="str">
        <f>IF('Seznam zápasů'!I372="","",'Seznam zápasů'!I372)</f>
        <v/>
      </c>
      <c r="CC23" s="39" t="str">
        <f ca="1">IF('Seznam zápasů'!J372="","",'Seznam zápasů'!J372)</f>
        <v>Nadcházející</v>
      </c>
      <c r="CD23" s="42">
        <f>IF('Seznam zápasů'!A394="","",'Seznam zápasů'!A394)</f>
        <v>46487</v>
      </c>
      <c r="CE23" s="39" t="str">
        <f>IF('Seznam zápasů'!B394="","",'Seznam zápasů'!B394)</f>
        <v>So</v>
      </c>
      <c r="CF23" s="39" t="str">
        <f>IF('Seznam zápasů'!D394="","",'Seznam zápasů'!D394)</f>
        <v>žákovská liga</v>
      </c>
      <c r="CG23" s="39" t="str">
        <f>IF('Seznam zápasů'!E394="","",'Seznam zápasů'!E394)</f>
        <v>F4, S4</v>
      </c>
      <c r="CH23" s="45" t="str">
        <f>IF('Seznam zápasů'!F394="","",'Seznam zápasů'!F394)</f>
        <v/>
      </c>
      <c r="CI23" s="39" t="str">
        <f>IF('Seznam zápasů'!G394="","",'Seznam zápasů'!G394)</f>
        <v/>
      </c>
      <c r="CJ23" s="39" t="str">
        <f>IF('Seznam zápasů'!H394="","",'Seznam zápasů'!H394)</f>
        <v/>
      </c>
      <c r="CK23" s="39" t="str">
        <f>IF('Seznam zápasů'!I394="","",'Seznam zápasů'!I394)</f>
        <v/>
      </c>
      <c r="CL23" s="39" t="str">
        <f ca="1">IF('Seznam zápasů'!J394="","",'Seznam zápasů'!J394)</f>
        <v>Nadcházející</v>
      </c>
      <c r="CM23" s="42">
        <f>IF('Seznam zápasů'!A395="","",'Seznam zápasů'!A395)</f>
        <v>46487</v>
      </c>
      <c r="CN23" s="39" t="str">
        <f>IF('Seznam zápasů'!B395="","",'Seznam zápasů'!B395)</f>
        <v>So</v>
      </c>
      <c r="CO23" s="39" t="str">
        <f>IF('Seznam zápasů'!D395="","",'Seznam zápasů'!D395)</f>
        <v>žákovská liga</v>
      </c>
      <c r="CP23" s="39" t="str">
        <f>IF('Seznam zápasů'!E395="","",'Seznam zápasů'!E395)</f>
        <v>F4. S4</v>
      </c>
      <c r="CQ23" s="45" t="str">
        <f>IF('Seznam zápasů'!F395="","",'Seznam zápasů'!F395)</f>
        <v/>
      </c>
      <c r="CR23" s="39" t="str">
        <f>IF('Seznam zápasů'!G395="","",'Seznam zápasů'!G395)</f>
        <v/>
      </c>
      <c r="CS23" s="39" t="str">
        <f>IF('Seznam zápasů'!H395="","",'Seznam zápasů'!H395)</f>
        <v/>
      </c>
      <c r="CT23" s="39" t="str">
        <f>IF('Seznam zápasů'!I395="","",'Seznam zápasů'!I395)</f>
        <v/>
      </c>
      <c r="CU23" s="39" t="str">
        <f ca="1">IF('Seznam zápasů'!J395="","",'Seznam zápasů'!J395)</f>
        <v>Nadcházející</v>
      </c>
      <c r="DE23" s="42">
        <f>IF('Seznam zápasů'!A351="","",'Seznam zápasů'!A351)</f>
        <v>46460</v>
      </c>
      <c r="DF23" s="39" t="str">
        <f>IF('Seznam zápasů'!B351="","",'Seznam zápasů'!B351)</f>
        <v>Ne</v>
      </c>
      <c r="DG23" s="39" t="str">
        <f>IF('Seznam zápasů'!D351="","",'Seznam zápasů'!D351)</f>
        <v>žákovská liga</v>
      </c>
      <c r="DH23" s="39" t="str">
        <f>IF('Seznam zápasů'!E351="","",'Seznam zápasů'!E351)</f>
        <v>F1´, S1</v>
      </c>
      <c r="DI23" s="45" t="str">
        <f>IF('Seznam zápasů'!F351="","",'Seznam zápasů'!F351)</f>
        <v/>
      </c>
      <c r="DJ23" s="39" t="str">
        <f>IF('Seznam zápasů'!G351="","",'Seznam zápasů'!G351)</f>
        <v/>
      </c>
      <c r="DK23" s="39" t="str">
        <f>IF('Seznam zápasů'!H351="","",'Seznam zápasů'!H351)</f>
        <v/>
      </c>
      <c r="DL23" s="39" t="str">
        <f>IF('Seznam zápasů'!I351="","",'Seznam zápasů'!I351)</f>
        <v/>
      </c>
      <c r="DM23" s="39" t="str">
        <f ca="1">IF('Seznam zápasů'!J351="","",'Seznam zápasů'!J351)</f>
        <v>Nadcházející</v>
      </c>
      <c r="DN23" s="42">
        <f>IF('Seznam zápasů'!A379="","",'Seznam zápasů'!A379)</f>
        <v>46480</v>
      </c>
      <c r="DO23" s="39" t="str">
        <f>IF('Seznam zápasů'!B379="","",'Seznam zápasů'!B379)</f>
        <v>So</v>
      </c>
      <c r="DP23" s="39" t="str">
        <f>IF('Seznam zápasů'!D379="","",'Seznam zápasů'!D379)</f>
        <v>žákovská liga</v>
      </c>
      <c r="DQ23" s="39" t="str">
        <f>IF('Seznam zápasů'!E379="","",'Seznam zápasů'!E379)</f>
        <v>F2´, S2´</v>
      </c>
      <c r="DR23" s="45" t="str">
        <f>IF('Seznam zápasů'!F379="","",'Seznam zápasů'!F379)</f>
        <v/>
      </c>
      <c r="DS23" s="39" t="str">
        <f>IF('Seznam zápasů'!G379="","",'Seznam zápasů'!G379)</f>
        <v/>
      </c>
      <c r="DT23" s="39" t="str">
        <f>IF('Seznam zápasů'!H379="","",'Seznam zápasů'!H379)</f>
        <v/>
      </c>
      <c r="DU23" s="39" t="str">
        <f>IF('Seznam zápasů'!I379="","",'Seznam zápasů'!I379)</f>
        <v/>
      </c>
      <c r="DV23" s="39" t="str">
        <f ca="1">IF('Seznam zápasů'!J379="","",'Seznam zápasů'!J379)</f>
        <v>Nadcházející</v>
      </c>
      <c r="FP23" s="42">
        <f>IF('Seznam zápasů'!A332="","",'Seznam zápasů'!A332)</f>
        <v>46452</v>
      </c>
      <c r="FQ23" s="39" t="str">
        <f>IF('Seznam zápasů'!B332="","",'Seznam zápasů'!B332)</f>
        <v>So</v>
      </c>
      <c r="FR23" s="39" t="str">
        <f>IF('Seznam zápasů'!D332="","",'Seznam zápasů'!D332)</f>
        <v>KP + kval. o NF</v>
      </c>
      <c r="FS23" s="39" t="str">
        <f>IF('Seznam zápasů'!E332="","",'Seznam zápasů'!E332)</f>
        <v>BC Slaný kval.</v>
      </c>
      <c r="FT23" s="45" t="str">
        <f>IF('Seznam zápasů'!F332="","",'Seznam zápasů'!F332)</f>
        <v>005</v>
      </c>
      <c r="FU23" s="39" t="str">
        <f>IF('Seznam zápasů'!G332="","",'Seznam zápasů'!G332)</f>
        <v/>
      </c>
      <c r="FV23" s="39" t="str">
        <f>IF('Seznam zápasů'!H332="","",'Seznam zápasů'!H332)</f>
        <v/>
      </c>
      <c r="FW23" s="39" t="str">
        <f>IF('Seznam zápasů'!I332="","",'Seznam zápasů'!I332)</f>
        <v/>
      </c>
      <c r="FX23" s="39" t="str">
        <f ca="1">IF('Seznam zápasů'!J332="","",'Seznam zápasů'!J332)</f>
        <v>Nadcházející</v>
      </c>
    </row>
    <row r="24" spans="1:180" x14ac:dyDescent="0.2">
      <c r="A24" s="42">
        <f>IF('Seznam zápasů'!A385="","",'Seznam zápasů'!A385)</f>
        <v>46481</v>
      </c>
      <c r="B24" s="39" t="str">
        <f>IF('Seznam zápasů'!B385="","",'Seznam zápasů'!B385)</f>
        <v>Ne</v>
      </c>
      <c r="C24" s="39" t="str">
        <f>IF('Seznam zápasů'!D385="","",'Seznam zápasů'!D385)</f>
        <v>SBLM</v>
      </c>
      <c r="D24" s="39" t="str">
        <f>IF('Seznam zápasů'!E385="","",'Seznam zápasů'!E385)</f>
        <v>BC Real Réma Nymbuk</v>
      </c>
      <c r="E24" s="45" t="str">
        <f>IF('Seznam zápasů'!F385="","",'Seznam zápasů'!F385)</f>
        <v>141</v>
      </c>
      <c r="F24" s="39" t="str">
        <f>IF('Seznam zápasů'!G385="","",'Seznam zápasů'!G385)</f>
        <v/>
      </c>
      <c r="G24" s="39" t="str">
        <f>IF('Seznam zápasů'!H385="","",'Seznam zápasů'!H385)</f>
        <v/>
      </c>
      <c r="H24" s="39" t="str">
        <f>IF('Seznam zápasů'!I385="","",'Seznam zápasů'!I385)</f>
        <v/>
      </c>
      <c r="I24" s="39" t="str">
        <f ca="1">IF('Seznam zápasů'!J385="","",'Seznam zápasů'!J385)</f>
        <v>Nadcházející</v>
      </c>
      <c r="BC24" s="43">
        <f>IF('Seznam zápasů'!A382="","",'Seznam zápasů'!A382)</f>
        <v>46481</v>
      </c>
      <c r="BD24" s="40" t="str">
        <f>IF('Seznam zápasů'!B382="","",'Seznam zápasů'!B382)</f>
        <v>Ne</v>
      </c>
      <c r="BE24" s="40" t="str">
        <f>IF('Seznam zápasů'!D382="","",'Seznam zápasů'!D382)</f>
        <v>nadreg. liga</v>
      </c>
      <c r="BF24" s="40" t="str">
        <f>IF('Seznam zápasů'!E382="","",'Seznam zápasů'!E382)</f>
        <v>BA Radotín</v>
      </c>
      <c r="BG24" s="46" t="str">
        <f>IF('Seznam zápasů'!F382="","",'Seznam zápasů'!F382)</f>
        <v>17240</v>
      </c>
      <c r="BH24" s="40" t="str">
        <f>IF('Seznam zápasů'!G382="","",'Seznam zápasů'!G382)</f>
        <v/>
      </c>
      <c r="BI24" s="40" t="str">
        <f>IF('Seznam zápasů'!H382="","",'Seznam zápasů'!H382)</f>
        <v/>
      </c>
      <c r="BJ24" s="40" t="str">
        <f>IF('Seznam zápasů'!I382="","",'Seznam zápasů'!I382)</f>
        <v/>
      </c>
      <c r="BK24" s="40" t="str">
        <f ca="1">IF('Seznam zápasů'!J382="","",'Seznam zápasů'!J382)</f>
        <v>Nadcházející</v>
      </c>
      <c r="BL24" s="42">
        <f>IF('Seznam zápasů'!A383="","",'Seznam zápasů'!A383)</f>
        <v>46481</v>
      </c>
      <c r="BM24" s="39" t="str">
        <f>IF('Seznam zápasů'!B383="","",'Seznam zápasů'!B383)</f>
        <v>Ne</v>
      </c>
      <c r="BN24" s="39" t="str">
        <f>IF('Seznam zápasů'!D383="","",'Seznam zápasů'!D383)</f>
        <v>celostátní liga</v>
      </c>
      <c r="BO24" s="39" t="str">
        <f>IF('Seznam zápasů'!E383="","",'Seznam zápasů'!E383)</f>
        <v>F4, S4</v>
      </c>
      <c r="BP24" s="45" t="str">
        <f>IF('Seznam zápasů'!F383="","",'Seznam zápasů'!F383)</f>
        <v/>
      </c>
      <c r="BQ24" s="39" t="str">
        <f>IF('Seznam zápasů'!G383="","",'Seznam zápasů'!G383)</f>
        <v/>
      </c>
      <c r="BR24" s="39" t="str">
        <f>IF('Seznam zápasů'!H383="","",'Seznam zápasů'!H383)</f>
        <v/>
      </c>
      <c r="BS24" s="39" t="str">
        <f>IF('Seznam zápasů'!I383="","",'Seznam zápasů'!I383)</f>
        <v/>
      </c>
      <c r="BT24" s="39" t="str">
        <f ca="1">IF('Seznam zápasů'!J383="","",'Seznam zápasů'!J383)</f>
        <v>Nadcházející</v>
      </c>
      <c r="BU24" s="43">
        <f>IF('Seznam zápasů'!A384="","",'Seznam zápasů'!A384)</f>
        <v>46481</v>
      </c>
      <c r="BV24" s="40" t="str">
        <f>IF('Seznam zápasů'!B384="","",'Seznam zápasů'!B384)</f>
        <v>Ne</v>
      </c>
      <c r="BW24" s="40" t="str">
        <f>IF('Seznam zápasů'!D384="","",'Seznam zápasů'!D384)</f>
        <v>nadreg. liga</v>
      </c>
      <c r="BX24" s="40" t="str">
        <f>IF('Seznam zápasů'!E384="","",'Seznam zápasů'!E384)</f>
        <v>Basketbal Újezd nad Lesy</v>
      </c>
      <c r="BY24" s="46" t="str">
        <f>IF('Seznam zápasů'!F384="","",'Seznam zápasů'!F384)</f>
        <v>17660</v>
      </c>
      <c r="BZ24" s="40" t="str">
        <f>IF('Seznam zápasů'!G384="","",'Seznam zápasů'!G384)</f>
        <v/>
      </c>
      <c r="CA24" s="40" t="str">
        <f>IF('Seznam zápasů'!H384="","",'Seznam zápasů'!H384)</f>
        <v/>
      </c>
      <c r="CB24" s="40" t="str">
        <f>IF('Seznam zápasů'!I384="","",'Seznam zápasů'!I384)</f>
        <v/>
      </c>
      <c r="CC24" s="40" t="str">
        <f ca="1">IF('Seznam zápasů'!J384="","",'Seznam zápasů'!J384)</f>
        <v>Nadcházející</v>
      </c>
      <c r="CD24" s="43">
        <f>IF('Seznam zápasů'!A399="","",'Seznam zápasů'!A399)</f>
        <v>46488</v>
      </c>
      <c r="CE24" s="40" t="str">
        <f>IF('Seznam zápasů'!B399="","",'Seznam zápasů'!B399)</f>
        <v>Ne</v>
      </c>
      <c r="CF24" s="40" t="str">
        <f>IF('Seznam zápasů'!D399="","",'Seznam zápasů'!D399)</f>
        <v>žákovská liga</v>
      </c>
      <c r="CG24" s="40" t="str">
        <f>IF('Seznam zápasů'!E399="","",'Seznam zápasů'!E399)</f>
        <v>F4, S4</v>
      </c>
      <c r="CH24" s="46" t="str">
        <f>IF('Seznam zápasů'!F399="","",'Seznam zápasů'!F399)</f>
        <v/>
      </c>
      <c r="CI24" s="40" t="str">
        <f>IF('Seznam zápasů'!G399="","",'Seznam zápasů'!G399)</f>
        <v/>
      </c>
      <c r="CJ24" s="40" t="str">
        <f>IF('Seznam zápasů'!H399="","",'Seznam zápasů'!H399)</f>
        <v/>
      </c>
      <c r="CK24" s="40" t="str">
        <f>IF('Seznam zápasů'!I399="","",'Seznam zápasů'!I399)</f>
        <v/>
      </c>
      <c r="CL24" s="40" t="str">
        <f ca="1">IF('Seznam zápasů'!J399="","",'Seznam zápasů'!J399)</f>
        <v>Nadcházející</v>
      </c>
      <c r="CM24" s="43">
        <f>IF('Seznam zápasů'!A400="","",'Seznam zápasů'!A400)</f>
        <v>46488</v>
      </c>
      <c r="CN24" s="40" t="str">
        <f>IF('Seznam zápasů'!B400="","",'Seznam zápasů'!B400)</f>
        <v>Ne</v>
      </c>
      <c r="CO24" s="40" t="str">
        <f>IF('Seznam zápasů'!D400="","",'Seznam zápasů'!D400)</f>
        <v>žákovská liga</v>
      </c>
      <c r="CP24" s="40" t="str">
        <f>IF('Seznam zápasů'!E400="","",'Seznam zápasů'!E400)</f>
        <v>F4. S4</v>
      </c>
      <c r="CQ24" s="46" t="str">
        <f>IF('Seznam zápasů'!F400="","",'Seznam zápasů'!F400)</f>
        <v/>
      </c>
      <c r="CR24" s="40" t="str">
        <f>IF('Seznam zápasů'!G400="","",'Seznam zápasů'!G400)</f>
        <v/>
      </c>
      <c r="CS24" s="40" t="str">
        <f>IF('Seznam zápasů'!H400="","",'Seznam zápasů'!H400)</f>
        <v/>
      </c>
      <c r="CT24" s="40" t="str">
        <f>IF('Seznam zápasů'!I400="","",'Seznam zápasů'!I400)</f>
        <v/>
      </c>
      <c r="CU24" s="40" t="str">
        <f ca="1">IF('Seznam zápasů'!J400="","",'Seznam zápasů'!J400)</f>
        <v>Nadcházející</v>
      </c>
      <c r="DE24" s="42">
        <f>IF('Seznam zápasů'!A369="","",'Seznam zápasů'!A369)</f>
        <v>46470</v>
      </c>
      <c r="DF24" s="39" t="str">
        <f>IF('Seznam zápasů'!B369="","",'Seznam zápasů'!B369)</f>
        <v>St</v>
      </c>
      <c r="DG24" s="39" t="str">
        <f>IF('Seznam zápasů'!D369="","",'Seznam zápasů'!D369)</f>
        <v>žákovská liga</v>
      </c>
      <c r="DH24" s="39" t="str">
        <f>IF('Seznam zápasů'!E369="","",'Seznam zápasů'!E369)</f>
        <v>FD´,SD´</v>
      </c>
      <c r="DI24" s="45" t="str">
        <f>IF('Seznam zápasů'!F369="","",'Seznam zápasů'!F369)</f>
        <v/>
      </c>
      <c r="DJ24" s="39" t="str">
        <f>IF('Seznam zápasů'!G369="","",'Seznam zápasů'!G369)</f>
        <v/>
      </c>
      <c r="DK24" s="39" t="str">
        <f>IF('Seznam zápasů'!H369="","",'Seznam zápasů'!H369)</f>
        <v/>
      </c>
      <c r="DL24" s="39" t="str">
        <f>IF('Seznam zápasů'!I369="","",'Seznam zápasů'!I369)</f>
        <v/>
      </c>
      <c r="DM24" s="39" t="str">
        <f ca="1">IF('Seznam zápasů'!J369="","",'Seznam zápasů'!J369)</f>
        <v>Nadcházející</v>
      </c>
      <c r="DN24" s="42">
        <f>IF('Seznam zápasů'!A387="","",'Seznam zápasů'!A387)</f>
        <v>46481</v>
      </c>
      <c r="DO24" s="39" t="str">
        <f>IF('Seznam zápasů'!B387="","",'Seznam zápasů'!B387)</f>
        <v>Ne</v>
      </c>
      <c r="DP24" s="39" t="str">
        <f>IF('Seznam zápasů'!D387="","",'Seznam zápasů'!D387)</f>
        <v>žákovská liga</v>
      </c>
      <c r="DQ24" s="39" t="str">
        <f>IF('Seznam zápasů'!E387="","",'Seznam zápasů'!E387)</f>
        <v>F2´, S2´</v>
      </c>
      <c r="DR24" s="45" t="str">
        <f>IF('Seznam zápasů'!F387="","",'Seznam zápasů'!F387)</f>
        <v/>
      </c>
      <c r="DS24" s="39" t="str">
        <f>IF('Seznam zápasů'!G387="","",'Seznam zápasů'!G387)</f>
        <v/>
      </c>
      <c r="DT24" s="39" t="str">
        <f>IF('Seznam zápasů'!H387="","",'Seznam zápasů'!H387)</f>
        <v/>
      </c>
      <c r="DU24" s="39" t="str">
        <f>IF('Seznam zápasů'!I387="","",'Seznam zápasů'!I387)</f>
        <v/>
      </c>
      <c r="DV24" s="39" t="str">
        <f ca="1">IF('Seznam zápasů'!J387="","",'Seznam zápasů'!J387)</f>
        <v>Nadcházející</v>
      </c>
      <c r="FP24" s="42">
        <f>IF('Seznam zápasů'!A337="","",'Seznam zápasů'!A337)</f>
        <v>46453</v>
      </c>
      <c r="FQ24" s="39" t="str">
        <f>IF('Seznam zápasů'!B337="","",'Seznam zápasů'!B337)</f>
        <v>Ne</v>
      </c>
      <c r="FR24" s="39" t="str">
        <f>IF('Seznam zápasů'!D337="","",'Seznam zápasů'!D337)</f>
        <v>KP + kval. o NF</v>
      </c>
      <c r="FS24" s="39" t="str">
        <f>IF('Seznam zápasů'!E337="","",'Seznam zápasů'!E337)</f>
        <v>BC Slaný kval.</v>
      </c>
      <c r="FT24" s="45" t="str">
        <f>IF('Seznam zápasů'!F337="","",'Seznam zápasů'!F337)</f>
        <v>007</v>
      </c>
      <c r="FU24" s="39" t="str">
        <f>IF('Seznam zápasů'!G337="","",'Seznam zápasů'!G337)</f>
        <v/>
      </c>
      <c r="FV24" s="39" t="str">
        <f>IF('Seznam zápasů'!H337="","",'Seznam zápasů'!H337)</f>
        <v/>
      </c>
      <c r="FW24" s="39" t="str">
        <f>IF('Seznam zápasů'!I337="","",'Seznam zápasů'!I337)</f>
        <v/>
      </c>
      <c r="FX24" s="39" t="str">
        <f ca="1">IF('Seznam zápasů'!J337="","",'Seznam zápasů'!J337)</f>
        <v>Nadcházející</v>
      </c>
    </row>
    <row r="25" spans="1:180" x14ac:dyDescent="0.2">
      <c r="A25" s="42">
        <f>IF('Seznam zápasů'!A405="","",'Seznam zápasů'!A405)</f>
        <v>46494</v>
      </c>
      <c r="B25" s="39" t="str">
        <f>IF('Seznam zápasů'!B405="","",'Seznam zápasů'!B405)</f>
        <v>So</v>
      </c>
      <c r="C25" s="39" t="str">
        <f>IF('Seznam zápasů'!D405="","",'Seznam zápasů'!D405)</f>
        <v>SBLM</v>
      </c>
      <c r="D25" s="39" t="str">
        <f>IF('Seznam zápasů'!E405="","",'Seznam zápasů'!E405)</f>
        <v>BK Kralupy Junior</v>
      </c>
      <c r="E25" s="45" t="str">
        <f>IF('Seznam zápasů'!F405="","",'Seznam zápasů'!F405)</f>
        <v>150</v>
      </c>
      <c r="F25" s="39" t="str">
        <f>IF('Seznam zápasů'!G405="","",'Seznam zápasů'!G405)</f>
        <v/>
      </c>
      <c r="G25" s="39" t="str">
        <f>IF('Seznam zápasů'!H405="","",'Seznam zápasů'!H405)</f>
        <v/>
      </c>
      <c r="H25" s="39" t="str">
        <f>IF('Seznam zápasů'!I405="","",'Seznam zápasů'!I405)</f>
        <v/>
      </c>
      <c r="I25" s="39" t="str">
        <f ca="1">IF('Seznam zápasů'!J405="","",'Seznam zápasů'!J405)</f>
        <v>Nadcházející</v>
      </c>
      <c r="BL25" s="42">
        <f>IF('Seznam zápasů'!A401="","",'Seznam zápasů'!A401)</f>
        <v>46494</v>
      </c>
      <c r="BM25" s="39" t="str">
        <f>IF('Seznam zápasů'!B401="","",'Seznam zápasů'!B401)</f>
        <v>So</v>
      </c>
      <c r="BN25" s="39" t="str">
        <f>IF('Seznam zápasů'!D401="","",'Seznam zápasů'!D401)</f>
        <v>celostátní liga</v>
      </c>
      <c r="BO25" s="39" t="str">
        <f>IF('Seznam zápasů'!E401="","",'Seznam zápasů'!E401)</f>
        <v>F5, S5</v>
      </c>
      <c r="BP25" s="45" t="str">
        <f>IF('Seznam zápasů'!F401="","",'Seznam zápasů'!F401)</f>
        <v/>
      </c>
      <c r="BQ25" s="39" t="str">
        <f>IF('Seznam zápasů'!G401="","",'Seznam zápasů'!G401)</f>
        <v/>
      </c>
      <c r="BR25" s="39" t="str">
        <f>IF('Seznam zápasů'!H401="","",'Seznam zápasů'!H401)</f>
        <v/>
      </c>
      <c r="BS25" s="39" t="str">
        <f>IF('Seznam zápasů'!I401="","",'Seznam zápasů'!I401)</f>
        <v/>
      </c>
      <c r="BT25" s="39" t="str">
        <f ca="1">IF('Seznam zápasů'!J401="","",'Seznam zápasů'!J401)</f>
        <v>Nadcházející</v>
      </c>
      <c r="DE25" s="42">
        <f>IF('Seznam zápasů'!A378="","",'Seznam zápasů'!A378)</f>
        <v>46480</v>
      </c>
      <c r="DF25" s="39" t="str">
        <f>IF('Seznam zápasů'!B378="","",'Seznam zápasů'!B378)</f>
        <v>So</v>
      </c>
      <c r="DG25" s="39" t="str">
        <f>IF('Seznam zápasů'!D378="","",'Seznam zápasů'!D378)</f>
        <v>žákovská liga</v>
      </c>
      <c r="DH25" s="39" t="str">
        <f>IF('Seznam zápasů'!E378="","",'Seznam zápasů'!E378)</f>
        <v>F2´, S2´</v>
      </c>
      <c r="DI25" s="45" t="str">
        <f>IF('Seznam zápasů'!F378="","",'Seznam zápasů'!F378)</f>
        <v/>
      </c>
      <c r="DJ25" s="39" t="str">
        <f>IF('Seznam zápasů'!G378="","",'Seznam zápasů'!G378)</f>
        <v/>
      </c>
      <c r="DK25" s="39" t="str">
        <f>IF('Seznam zápasů'!H378="","",'Seznam zápasů'!H378)</f>
        <v/>
      </c>
      <c r="DL25" s="39" t="str">
        <f>IF('Seznam zápasů'!I378="","",'Seznam zápasů'!I378)</f>
        <v/>
      </c>
      <c r="DM25" s="39" t="str">
        <f ca="1">IF('Seznam zápasů'!J378="","",'Seznam zápasů'!J378)</f>
        <v>Nadcházející</v>
      </c>
      <c r="DN25" s="42">
        <f>IF('Seznam zápasů'!A407="","",'Seznam zápasů'!A407)</f>
        <v>46494</v>
      </c>
      <c r="DO25" s="39" t="str">
        <f>IF('Seznam zápasů'!B407="","",'Seznam zápasů'!B407)</f>
        <v>So</v>
      </c>
      <c r="DP25" s="39" t="str">
        <f>IF('Seznam zápasů'!D407="","",'Seznam zápasů'!D407)</f>
        <v>žákovská liga</v>
      </c>
      <c r="DQ25" s="39" t="str">
        <f>IF('Seznam zápasů'!E407="","",'Seznam zápasů'!E407)</f>
        <v>F3´, S3´</v>
      </c>
      <c r="DR25" s="45" t="str">
        <f>IF('Seznam zápasů'!F407="","",'Seznam zápasů'!F407)</f>
        <v/>
      </c>
      <c r="DS25" s="39" t="str">
        <f>IF('Seznam zápasů'!G407="","",'Seznam zápasů'!G407)</f>
        <v/>
      </c>
      <c r="DT25" s="39" t="str">
        <f>IF('Seznam zápasů'!H407="","",'Seznam zápasů'!H407)</f>
        <v/>
      </c>
      <c r="DU25" s="39" t="str">
        <f>IF('Seznam zápasů'!I407="","",'Seznam zápasů'!I407)</f>
        <v/>
      </c>
      <c r="DV25" s="39" t="str">
        <f ca="1">IF('Seznam zápasů'!J407="","",'Seznam zápasů'!J407)</f>
        <v>Nadcházející</v>
      </c>
      <c r="FP25" s="42">
        <f>IF('Seznam zápasů'!A359="","",'Seznam zápasů'!A359)</f>
        <v>46466</v>
      </c>
      <c r="FQ25" s="39" t="str">
        <f>IF('Seznam zápasů'!B359="","",'Seznam zápasů'!B359)</f>
        <v>So</v>
      </c>
      <c r="FR25" s="39" t="str">
        <f>IF('Seznam zápasů'!D359="","",'Seznam zápasů'!D359)</f>
        <v>KP + kval. o NF</v>
      </c>
      <c r="FS25" s="39" t="str">
        <f>IF('Seznam zápasů'!E359="","",'Seznam zápasů'!E359)</f>
        <v>BK Brandýs kval.</v>
      </c>
      <c r="FT25" s="45" t="str">
        <f>IF('Seznam zápasů'!F359="","",'Seznam zápasů'!F359)</f>
        <v>009</v>
      </c>
      <c r="FU25" s="39" t="str">
        <f>IF('Seznam zápasů'!G359="","",'Seznam zápasů'!G359)</f>
        <v/>
      </c>
      <c r="FV25" s="39" t="str">
        <f>IF('Seznam zápasů'!H359="","",'Seznam zápasů'!H359)</f>
        <v/>
      </c>
      <c r="FW25" s="39" t="str">
        <f>IF('Seznam zápasů'!I359="","",'Seznam zápasů'!I359)</f>
        <v/>
      </c>
      <c r="FX25" s="39" t="str">
        <f ca="1">IF('Seznam zápasů'!J359="","",'Seznam zápasů'!J359)</f>
        <v>Nadcházející</v>
      </c>
    </row>
    <row r="26" spans="1:180" x14ac:dyDescent="0.2">
      <c r="A26" s="42">
        <f>IF('Seznam zápasů'!A412="","",'Seznam zápasů'!A412)</f>
        <v>46495</v>
      </c>
      <c r="B26" s="39" t="str">
        <f>IF('Seznam zápasů'!B412="","",'Seznam zápasů'!B412)</f>
        <v>Ne</v>
      </c>
      <c r="C26" s="39" t="str">
        <f>IF('Seznam zápasů'!D412="","",'Seznam zápasů'!D412)</f>
        <v>SBLM</v>
      </c>
      <c r="D26" s="39" t="str">
        <f>IF('Seznam zápasů'!E412="","",'Seznam zápasů'!E412)</f>
        <v>ŠSK Slaný</v>
      </c>
      <c r="E26" s="45" t="str">
        <f>IF('Seznam zápasů'!F412="","",'Seznam zápasů'!F412)</f>
        <v>154</v>
      </c>
      <c r="F26" s="39" t="str">
        <f>IF('Seznam zápasů'!G412="","",'Seznam zápasů'!G412)</f>
        <v/>
      </c>
      <c r="G26" s="39" t="str">
        <f>IF('Seznam zápasů'!H412="","",'Seznam zápasů'!H412)</f>
        <v/>
      </c>
      <c r="H26" s="39" t="str">
        <f>IF('Seznam zápasů'!I412="","",'Seznam zápasů'!I412)</f>
        <v/>
      </c>
      <c r="I26" s="39" t="str">
        <f ca="1">IF('Seznam zápasů'!J412="","",'Seznam zápasů'!J412)</f>
        <v>Nadcházející</v>
      </c>
      <c r="BL26" s="42">
        <f>IF('Seznam zápasů'!A411="","",'Seznam zápasů'!A411)</f>
        <v>46495</v>
      </c>
      <c r="BM26" s="39" t="str">
        <f>IF('Seznam zápasů'!B411="","",'Seznam zápasů'!B411)</f>
        <v>Ne</v>
      </c>
      <c r="BN26" s="39" t="str">
        <f>IF('Seznam zápasů'!D411="","",'Seznam zápasů'!D411)</f>
        <v>celostátní liga</v>
      </c>
      <c r="BO26" s="39" t="str">
        <f>IF('Seznam zápasů'!E411="","",'Seznam zápasů'!E411)</f>
        <v>F5, S5</v>
      </c>
      <c r="BP26" s="45" t="str">
        <f>IF('Seznam zápasů'!F411="","",'Seznam zápasů'!F411)</f>
        <v/>
      </c>
      <c r="BQ26" s="39" t="str">
        <f>IF('Seznam zápasů'!G411="","",'Seznam zápasů'!G411)</f>
        <v/>
      </c>
      <c r="BR26" s="39" t="str">
        <f>IF('Seznam zápasů'!H411="","",'Seznam zápasů'!H411)</f>
        <v/>
      </c>
      <c r="BS26" s="39" t="str">
        <f>IF('Seznam zápasů'!I411="","",'Seznam zápasů'!I411)</f>
        <v/>
      </c>
      <c r="BT26" s="39" t="str">
        <f ca="1">IF('Seznam zápasů'!J411="","",'Seznam zápasů'!J411)</f>
        <v>Nadcházející</v>
      </c>
      <c r="DE26" s="42">
        <f>IF('Seznam zápasů'!A386="","",'Seznam zápasů'!A386)</f>
        <v>46481</v>
      </c>
      <c r="DF26" s="39" t="str">
        <f>IF('Seznam zápasů'!B386="","",'Seznam zápasů'!B386)</f>
        <v>Ne</v>
      </c>
      <c r="DG26" s="39" t="str">
        <f>IF('Seznam zápasů'!D386="","",'Seznam zápasů'!D386)</f>
        <v>žákovská liga</v>
      </c>
      <c r="DH26" s="39" t="str">
        <f>IF('Seznam zápasů'!E386="","",'Seznam zápasů'!E386)</f>
        <v>F2´, S2´</v>
      </c>
      <c r="DI26" s="45" t="str">
        <f>IF('Seznam zápasů'!F386="","",'Seznam zápasů'!F386)</f>
        <v/>
      </c>
      <c r="DJ26" s="39" t="str">
        <f>IF('Seznam zápasů'!G386="","",'Seznam zápasů'!G386)</f>
        <v/>
      </c>
      <c r="DK26" s="39" t="str">
        <f>IF('Seznam zápasů'!H386="","",'Seznam zápasů'!H386)</f>
        <v/>
      </c>
      <c r="DL26" s="39" t="str">
        <f>IF('Seznam zápasů'!I386="","",'Seznam zápasů'!I386)</f>
        <v/>
      </c>
      <c r="DM26" s="39" t="str">
        <f ca="1">IF('Seznam zápasů'!J386="","",'Seznam zápasů'!J386)</f>
        <v>Nadcházející</v>
      </c>
      <c r="DN26" s="43">
        <f>IF('Seznam zápasů'!A414="","",'Seznam zápasů'!A414)</f>
        <v>46495</v>
      </c>
      <c r="DO26" s="40" t="str">
        <f>IF('Seznam zápasů'!B414="","",'Seznam zápasů'!B414)</f>
        <v>Ne</v>
      </c>
      <c r="DP26" s="40" t="str">
        <f>IF('Seznam zápasů'!D414="","",'Seznam zápasů'!D414)</f>
        <v>žákovská liga</v>
      </c>
      <c r="DQ26" s="40" t="str">
        <f>IF('Seznam zápasů'!E414="","",'Seznam zápasů'!E414)</f>
        <v>F3´, S3´</v>
      </c>
      <c r="DR26" s="46" t="str">
        <f>IF('Seznam zápasů'!F414="","",'Seznam zápasů'!F414)</f>
        <v/>
      </c>
      <c r="DS26" s="40" t="str">
        <f>IF('Seznam zápasů'!G414="","",'Seznam zápasů'!G414)</f>
        <v/>
      </c>
      <c r="DT26" s="40" t="str">
        <f>IF('Seznam zápasů'!H414="","",'Seznam zápasů'!H414)</f>
        <v/>
      </c>
      <c r="DU26" s="40" t="str">
        <f>IF('Seznam zápasů'!I414="","",'Seznam zápasů'!I414)</f>
        <v/>
      </c>
      <c r="DV26" s="40" t="str">
        <f ca="1">IF('Seznam zápasů'!J414="","",'Seznam zápasů'!J414)</f>
        <v>Nadcházející</v>
      </c>
      <c r="FP26" s="42">
        <f>IF('Seznam zápasů'!A364="","",'Seznam zápasů'!A364)</f>
        <v>46467</v>
      </c>
      <c r="FQ26" s="39" t="str">
        <f>IF('Seznam zápasů'!B364="","",'Seznam zápasů'!B364)</f>
        <v>Ne</v>
      </c>
      <c r="FR26" s="39" t="str">
        <f>IF('Seznam zápasů'!D364="","",'Seznam zápasů'!D364)</f>
        <v>KP + kval. o NF</v>
      </c>
      <c r="FS26" s="39" t="str">
        <f>IF('Seznam zápasů'!E364="","",'Seznam zápasů'!E364)</f>
        <v>ŠBK Sadská kval.</v>
      </c>
      <c r="FT26" s="45" t="str">
        <f>IF('Seznam zápasů'!F364="","",'Seznam zápasů'!F364)</f>
        <v>012</v>
      </c>
      <c r="FU26" s="39" t="str">
        <f>IF('Seznam zápasů'!G364="","",'Seznam zápasů'!G364)</f>
        <v/>
      </c>
      <c r="FV26" s="39" t="str">
        <f>IF('Seznam zápasů'!H364="","",'Seznam zápasů'!H364)</f>
        <v/>
      </c>
      <c r="FW26" s="39" t="str">
        <f>IF('Seznam zápasů'!I364="","",'Seznam zápasů'!I364)</f>
        <v/>
      </c>
      <c r="FX26" s="39" t="str">
        <f ca="1">IF('Seznam zápasů'!J364="","",'Seznam zápasů'!J364)</f>
        <v>Nadcházející</v>
      </c>
    </row>
    <row r="27" spans="1:180" x14ac:dyDescent="0.2">
      <c r="A27" s="42">
        <f>IF('Seznam zápasů'!A420="","",'Seznam zápasů'!A420)</f>
        <v>46501</v>
      </c>
      <c r="B27" s="39" t="str">
        <f>IF('Seznam zápasů'!B420="","",'Seznam zápasů'!B420)</f>
        <v>So</v>
      </c>
      <c r="C27" s="39" t="str">
        <f>IF('Seznam zápasů'!D420="","",'Seznam zápasů'!D420)</f>
        <v>SBLM</v>
      </c>
      <c r="D27" s="39" t="str">
        <f>IF('Seznam zápasů'!E420="","",'Seznam zápasů'!E420)</f>
        <v>ČF</v>
      </c>
      <c r="E27" s="45" t="str">
        <f>IF('Seznam zápasů'!F420="","",'Seznam zápasů'!F420)</f>
        <v/>
      </c>
      <c r="F27" s="39" t="str">
        <f>IF('Seznam zápasů'!G420="","",'Seznam zápasů'!G420)</f>
        <v/>
      </c>
      <c r="G27" s="39" t="str">
        <f>IF('Seznam zápasů'!H420="","",'Seznam zápasů'!H420)</f>
        <v/>
      </c>
      <c r="H27" s="39" t="str">
        <f>IF('Seznam zápasů'!I420="","",'Seznam zápasů'!I420)</f>
        <v/>
      </c>
      <c r="I27" s="39" t="str">
        <f ca="1">IF('Seznam zápasů'!J420="","",'Seznam zápasů'!J420)</f>
        <v>Nadcházející</v>
      </c>
      <c r="BL27" s="42">
        <f>IF('Seznam zápasů'!A425="","",'Seznam zápasů'!A425)</f>
        <v>46508</v>
      </c>
      <c r="BM27" s="39" t="str">
        <f>IF('Seznam zápasů'!B425="","",'Seznam zápasů'!B425)</f>
        <v>So</v>
      </c>
      <c r="BN27" s="39" t="str">
        <f>IF('Seznam zápasů'!D425="","",'Seznam zápasů'!D425)</f>
        <v>celostátní liga</v>
      </c>
      <c r="BO27" s="39" t="str">
        <f>IF('Seznam zápasů'!E425="","",'Seznam zápasů'!E425)</f>
        <v>F6, S6</v>
      </c>
      <c r="BP27" s="45" t="str">
        <f>IF('Seznam zápasů'!F425="","",'Seznam zápasů'!F425)</f>
        <v/>
      </c>
      <c r="BQ27" s="39" t="str">
        <f>IF('Seznam zápasů'!G425="","",'Seznam zápasů'!G425)</f>
        <v/>
      </c>
      <c r="BR27" s="39" t="str">
        <f>IF('Seznam zápasů'!H425="","",'Seznam zápasů'!H425)</f>
        <v/>
      </c>
      <c r="BS27" s="39" t="str">
        <f>IF('Seznam zápasů'!I425="","",'Seznam zápasů'!I425)</f>
        <v/>
      </c>
      <c r="BT27" s="39" t="str">
        <f ca="1">IF('Seznam zápasů'!J425="","",'Seznam zápasů'!J425)</f>
        <v>Nadcházející</v>
      </c>
      <c r="DE27" s="42">
        <f>IF('Seznam zápasů'!A406="","",'Seznam zápasů'!A406)</f>
        <v>46494</v>
      </c>
      <c r="DF27" s="39" t="str">
        <f>IF('Seznam zápasů'!B406="","",'Seznam zápasů'!B406)</f>
        <v>So</v>
      </c>
      <c r="DG27" s="39" t="str">
        <f>IF('Seznam zápasů'!D406="","",'Seznam zápasů'!D406)</f>
        <v>žákovská liga</v>
      </c>
      <c r="DH27" s="39" t="str">
        <f>IF('Seznam zápasů'!E406="","",'Seznam zápasů'!E406)</f>
        <v>F3´, S3´</v>
      </c>
      <c r="DI27" s="45" t="str">
        <f>IF('Seznam zápasů'!F406="","",'Seznam zápasů'!F406)</f>
        <v/>
      </c>
      <c r="DJ27" s="39" t="str">
        <f>IF('Seznam zápasů'!G406="","",'Seznam zápasů'!G406)</f>
        <v/>
      </c>
      <c r="DK27" s="39" t="str">
        <f>IF('Seznam zápasů'!H406="","",'Seznam zápasů'!H406)</f>
        <v/>
      </c>
      <c r="DL27" s="39" t="str">
        <f>IF('Seznam zápasů'!I406="","",'Seznam zápasů'!I406)</f>
        <v/>
      </c>
      <c r="DM27" s="39" t="str">
        <f ca="1">IF('Seznam zápasů'!J406="","",'Seznam zápasů'!J406)</f>
        <v>Nadcházející</v>
      </c>
      <c r="FP27" s="42">
        <f>IF('Seznam zápasů'!A392="","",'Seznam zápasů'!A392)</f>
        <v>46487</v>
      </c>
      <c r="FQ27" s="39" t="str">
        <f>IF('Seznam zápasů'!B392="","",'Seznam zápasů'!B392)</f>
        <v>So</v>
      </c>
      <c r="FR27" s="39" t="str">
        <f>IF('Seznam zápasů'!D392="","",'Seznam zápasů'!D392)</f>
        <v>KP + kval. o NF</v>
      </c>
      <c r="FS27" s="39" t="str">
        <f>IF('Seznam zápasů'!E392="","",'Seznam zápasů'!E392)</f>
        <v>HB Basket</v>
      </c>
      <c r="FT27" s="45" t="str">
        <f>IF('Seznam zápasů'!F392="","",'Seznam zápasů'!F392)</f>
        <v>111</v>
      </c>
      <c r="FU27" s="39" t="str">
        <f>IF('Seznam zápasů'!G392="","",'Seznam zápasů'!G392)</f>
        <v/>
      </c>
      <c r="FV27" s="39" t="str">
        <f>IF('Seznam zápasů'!H392="","",'Seznam zápasů'!H392)</f>
        <v/>
      </c>
      <c r="FW27" s="39" t="str">
        <f>IF('Seznam zápasů'!I392="","",'Seznam zápasů'!I392)</f>
        <v/>
      </c>
      <c r="FX27" s="39" t="str">
        <f ca="1">IF('Seznam zápasů'!J392="","",'Seznam zápasů'!J392)</f>
        <v>Nadcházející</v>
      </c>
    </row>
    <row r="28" spans="1:180" x14ac:dyDescent="0.2">
      <c r="A28" s="42">
        <f>IF('Seznam zápasů'!A423="","",'Seznam zápasů'!A423)</f>
        <v>46502</v>
      </c>
      <c r="B28" s="39" t="str">
        <f>IF('Seznam zápasů'!B423="","",'Seznam zápasů'!B423)</f>
        <v>Ne</v>
      </c>
      <c r="C28" s="39" t="str">
        <f>IF('Seznam zápasů'!D423="","",'Seznam zápasů'!D423)</f>
        <v>SBLM</v>
      </c>
      <c r="D28" s="39" t="str">
        <f>IF('Seznam zápasů'!E423="","",'Seznam zápasů'!E423)</f>
        <v>ČF</v>
      </c>
      <c r="E28" s="45" t="str">
        <f>IF('Seznam zápasů'!F423="","",'Seznam zápasů'!F423)</f>
        <v/>
      </c>
      <c r="F28" s="39" t="str">
        <f>IF('Seznam zápasů'!G423="","",'Seznam zápasů'!G423)</f>
        <v/>
      </c>
      <c r="G28" s="39" t="str">
        <f>IF('Seznam zápasů'!H423="","",'Seznam zápasů'!H423)</f>
        <v/>
      </c>
      <c r="H28" s="39" t="str">
        <f>IF('Seznam zápasů'!I423="","",'Seznam zápasů'!I423)</f>
        <v/>
      </c>
      <c r="I28" s="39" t="str">
        <f ca="1">IF('Seznam zápasů'!J423="","",'Seznam zápasů'!J423)</f>
        <v>Nadcházející</v>
      </c>
      <c r="BL28" s="43">
        <f>IF('Seznam zápasů'!A428="","",'Seznam zápasů'!A428)</f>
        <v>46509</v>
      </c>
      <c r="BM28" s="40" t="str">
        <f>IF('Seznam zápasů'!B428="","",'Seznam zápasů'!B428)</f>
        <v>Ne</v>
      </c>
      <c r="BN28" s="40" t="str">
        <f>IF('Seznam zápasů'!D428="","",'Seznam zápasů'!D428)</f>
        <v>celostátní liga</v>
      </c>
      <c r="BO28" s="40" t="str">
        <f>IF('Seznam zápasů'!E428="","",'Seznam zápasů'!E428)</f>
        <v>F6, S6</v>
      </c>
      <c r="BP28" s="46" t="str">
        <f>IF('Seznam zápasů'!F428="","",'Seznam zápasů'!F428)</f>
        <v/>
      </c>
      <c r="BQ28" s="40" t="str">
        <f>IF('Seznam zápasů'!G428="","",'Seznam zápasů'!G428)</f>
        <v/>
      </c>
      <c r="BR28" s="40" t="str">
        <f>IF('Seznam zápasů'!H428="","",'Seznam zápasů'!H428)</f>
        <v/>
      </c>
      <c r="BS28" s="40" t="str">
        <f>IF('Seznam zápasů'!I428="","",'Seznam zápasů'!I428)</f>
        <v/>
      </c>
      <c r="BT28" s="40" t="str">
        <f ca="1">IF('Seznam zápasů'!J428="","",'Seznam zápasů'!J428)</f>
        <v>Nadcházející</v>
      </c>
      <c r="DE28" s="43">
        <f>IF('Seznam zápasů'!A413="","",'Seznam zápasů'!A413)</f>
        <v>46495</v>
      </c>
      <c r="DF28" s="40" t="str">
        <f>IF('Seznam zápasů'!B413="","",'Seznam zápasů'!B413)</f>
        <v>Ne</v>
      </c>
      <c r="DG28" s="40" t="str">
        <f>IF('Seznam zápasů'!D413="","",'Seznam zápasů'!D413)</f>
        <v>žákovská liga</v>
      </c>
      <c r="DH28" s="40" t="str">
        <f>IF('Seznam zápasů'!E413="","",'Seznam zápasů'!E413)</f>
        <v>F3´, S3´</v>
      </c>
      <c r="DI28" s="46" t="str">
        <f>IF('Seznam zápasů'!F413="","",'Seznam zápasů'!F413)</f>
        <v/>
      </c>
      <c r="DJ28" s="40" t="str">
        <f>IF('Seznam zápasů'!G413="","",'Seznam zápasů'!G413)</f>
        <v/>
      </c>
      <c r="DK28" s="40" t="str">
        <f>IF('Seznam zápasů'!H413="","",'Seznam zápasů'!H413)</f>
        <v/>
      </c>
      <c r="DL28" s="40" t="str">
        <f>IF('Seznam zápasů'!I413="","",'Seznam zápasů'!I413)</f>
        <v/>
      </c>
      <c r="DM28" s="40" t="str">
        <f ca="1">IF('Seznam zápasů'!J413="","",'Seznam zápasů'!J413)</f>
        <v>Nadcházející</v>
      </c>
      <c r="FP28" s="42">
        <f>IF('Seznam zápasů'!A397="","",'Seznam zápasů'!A397)</f>
        <v>46488</v>
      </c>
      <c r="FQ28" s="39" t="str">
        <f>IF('Seznam zápasů'!B397="","",'Seznam zápasů'!B397)</f>
        <v>Ne</v>
      </c>
      <c r="FR28" s="39" t="str">
        <f>IF('Seznam zápasů'!D397="","",'Seznam zápasů'!D397)</f>
        <v>KP + kval. o NF</v>
      </c>
      <c r="FS28" s="39" t="str">
        <f>IF('Seznam zápasů'!E397="","",'Seznam zápasů'!E397)</f>
        <v>Sokol Kladno</v>
      </c>
      <c r="FT28" s="45" t="str">
        <f>IF('Seznam zápasů'!F397="","",'Seznam zápasů'!F397)</f>
        <v>118</v>
      </c>
      <c r="FU28" s="39" t="str">
        <f>IF('Seznam zápasů'!G397="","",'Seznam zápasů'!G397)</f>
        <v/>
      </c>
      <c r="FV28" s="39" t="str">
        <f>IF('Seznam zápasů'!H397="","",'Seznam zápasů'!H397)</f>
        <v/>
      </c>
      <c r="FW28" s="39" t="str">
        <f>IF('Seznam zápasů'!I397="","",'Seznam zápasů'!I397)</f>
        <v/>
      </c>
      <c r="FX28" s="39" t="str">
        <f ca="1">IF('Seznam zápasů'!J397="","",'Seznam zápasů'!J397)</f>
        <v>Nadcházející</v>
      </c>
    </row>
    <row r="29" spans="1:180" x14ac:dyDescent="0.2">
      <c r="A29" s="42">
        <f>IF('Seznam zápasů'!A426="","",'Seznam zápasů'!A426)</f>
        <v>46508</v>
      </c>
      <c r="B29" s="39" t="str">
        <f>IF('Seznam zápasů'!B426="","",'Seznam zápasů'!B426)</f>
        <v>So</v>
      </c>
      <c r="C29" s="39" t="str">
        <f>IF('Seznam zápasů'!D426="","",'Seznam zápasů'!D426)</f>
        <v>SBLM</v>
      </c>
      <c r="D29" s="39" t="str">
        <f>IF('Seznam zápasů'!E426="","",'Seznam zápasů'!E426)</f>
        <v>F4</v>
      </c>
      <c r="E29" s="45" t="str">
        <f>IF('Seznam zápasů'!F426="","",'Seznam zápasů'!F426)</f>
        <v/>
      </c>
      <c r="F29" s="39" t="str">
        <f>IF('Seznam zápasů'!G426="","",'Seznam zápasů'!G426)</f>
        <v/>
      </c>
      <c r="G29" s="39" t="str">
        <f>IF('Seznam zápasů'!H426="","",'Seznam zápasů'!H426)</f>
        <v/>
      </c>
      <c r="H29" s="39" t="str">
        <f>IF('Seznam zápasů'!I426="","",'Seznam zápasů'!I426)</f>
        <v/>
      </c>
      <c r="I29" s="39" t="str">
        <f ca="1">IF('Seznam zápasů'!J426="","",'Seznam zápasů'!J426)</f>
        <v>Nadcházející</v>
      </c>
      <c r="FP29" s="42">
        <f>IF('Seznam zápasů'!A419="","",'Seznam zápasů'!A419)</f>
        <v>46501</v>
      </c>
      <c r="FQ29" s="39" t="str">
        <f>IF('Seznam zápasů'!B419="","",'Seznam zápasů'!B419)</f>
        <v>So</v>
      </c>
      <c r="FR29" s="39" t="str">
        <f>IF('Seznam zápasů'!D419="","",'Seznam zápasů'!D419)</f>
        <v>KP + kval. o NF</v>
      </c>
      <c r="FS29" s="39" t="str">
        <f>IF('Seznam zápasů'!E419="","",'Seznam zápasů'!E419)</f>
        <v>ŠBK Sadská</v>
      </c>
      <c r="FT29" s="45" t="str">
        <f>IF('Seznam zápasů'!F419="","",'Seznam zápasů'!F419)</f>
        <v>123</v>
      </c>
      <c r="FU29" s="39" t="str">
        <f>IF('Seznam zápasů'!G419="","",'Seznam zápasů'!G419)</f>
        <v/>
      </c>
      <c r="FV29" s="39" t="str">
        <f>IF('Seznam zápasů'!H419="","",'Seznam zápasů'!H419)</f>
        <v/>
      </c>
      <c r="FW29" s="39" t="str">
        <f>IF('Seznam zápasů'!I419="","",'Seznam zápasů'!I419)</f>
        <v/>
      </c>
      <c r="FX29" s="39" t="str">
        <f ca="1">IF('Seznam zápasů'!J419="","",'Seznam zápasů'!J419)</f>
        <v>Nadcházející</v>
      </c>
    </row>
    <row r="30" spans="1:180" x14ac:dyDescent="0.2">
      <c r="A30" s="43">
        <f>IF('Seznam zápasů'!A429="","",'Seznam zápasů'!A429)</f>
        <v>46509</v>
      </c>
      <c r="B30" s="40" t="str">
        <f>IF('Seznam zápasů'!B429="","",'Seznam zápasů'!B429)</f>
        <v>Ne</v>
      </c>
      <c r="C30" s="40" t="str">
        <f>IF('Seznam zápasů'!D429="","",'Seznam zápasů'!D429)</f>
        <v>SBLM</v>
      </c>
      <c r="D30" s="40" t="str">
        <f>IF('Seznam zápasů'!E429="","",'Seznam zápasů'!E429)</f>
        <v>F4</v>
      </c>
      <c r="E30" s="46" t="str">
        <f>IF('Seznam zápasů'!F429="","",'Seznam zápasů'!F429)</f>
        <v/>
      </c>
      <c r="F30" s="40" t="str">
        <f>IF('Seznam zápasů'!G429="","",'Seznam zápasů'!G429)</f>
        <v/>
      </c>
      <c r="G30" s="40" t="str">
        <f>IF('Seznam zápasů'!H429="","",'Seznam zápasů'!H429)</f>
        <v/>
      </c>
      <c r="H30" s="40" t="str">
        <f>IF('Seznam zápasů'!I429="","",'Seznam zápasů'!I429)</f>
        <v/>
      </c>
      <c r="I30" s="40" t="str">
        <f ca="1">IF('Seznam zápasů'!J429="","",'Seznam zápasů'!J429)</f>
        <v>Nadcházející</v>
      </c>
      <c r="FP30" s="43">
        <f>IF('Seznam zápasů'!A422="","",'Seznam zápasů'!A422)</f>
        <v>46502</v>
      </c>
      <c r="FQ30" s="40" t="str">
        <f>IF('Seznam zápasů'!B422="","",'Seznam zápasů'!B422)</f>
        <v>Ne</v>
      </c>
      <c r="FR30" s="40" t="str">
        <f>IF('Seznam zápasů'!D422="","",'Seznam zápasů'!D422)</f>
        <v>KP + kval. o NF</v>
      </c>
      <c r="FS30" s="40" t="str">
        <f>IF('Seznam zápasů'!E422="","",'Seznam zápasů'!E422)</f>
        <v>BC Kolín</v>
      </c>
      <c r="FT30" s="46" t="str">
        <f>IF('Seznam zápasů'!F422="","",'Seznam zápasů'!F422)</f>
        <v>130</v>
      </c>
      <c r="FU30" s="40" t="str">
        <f>IF('Seznam zápasů'!G422="","",'Seznam zápasů'!G422)</f>
        <v/>
      </c>
      <c r="FV30" s="40" t="str">
        <f>IF('Seznam zápasů'!H422="","",'Seznam zápasů'!H422)</f>
        <v/>
      </c>
      <c r="FW30" s="40" t="str">
        <f>IF('Seznam zápasů'!I422="","",'Seznam zápasů'!I422)</f>
        <v/>
      </c>
      <c r="FX30" s="40" t="str">
        <f ca="1">IF('Seznam zápasů'!J422="","",'Seznam zápasů'!J422)</f>
        <v>Nadcházející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20"/>
  <sheetViews>
    <sheetView showGridLines="0" workbookViewId="0"/>
  </sheetViews>
  <sheetFormatPr defaultRowHeight="12.75" x14ac:dyDescent="0.2"/>
  <cols>
    <col min="1" max="1" width="13.7109375" customWidth="1"/>
    <col min="2" max="2" width="6.28515625" customWidth="1"/>
    <col min="3" max="3" width="13.7109375" customWidth="1"/>
    <col min="4" max="4" width="28.7109375" customWidth="1"/>
    <col min="5" max="5" width="11.85546875" customWidth="1"/>
    <col min="6" max="6" width="8.140625" customWidth="1"/>
    <col min="7" max="7" width="18.7109375" customWidth="1"/>
    <col min="8" max="8" width="26.28515625" customWidth="1"/>
    <col min="9" max="9" width="13.140625" customWidth="1"/>
  </cols>
  <sheetData>
    <row r="1" spans="1:9" ht="33.950000000000003" customHeight="1" x14ac:dyDescent="0.2">
      <c r="A1" s="110" t="s">
        <v>851</v>
      </c>
      <c r="B1" s="110"/>
      <c r="C1" s="110"/>
      <c r="D1" s="110"/>
      <c r="E1" s="110"/>
      <c r="F1" s="110"/>
      <c r="G1" s="110"/>
      <c r="H1" s="110"/>
      <c r="I1" s="110"/>
    </row>
    <row r="3" spans="1:9" ht="15" x14ac:dyDescent="0.2">
      <c r="A3" s="50" t="s">
        <v>512</v>
      </c>
      <c r="B3" s="112" t="s">
        <v>14</v>
      </c>
      <c r="C3" s="113"/>
      <c r="D3" s="116" t="s">
        <v>852</v>
      </c>
      <c r="E3" s="116"/>
      <c r="F3" s="116"/>
      <c r="G3" s="116"/>
      <c r="H3" s="116"/>
      <c r="I3" s="116"/>
    </row>
    <row r="4" spans="1:9" ht="15" x14ac:dyDescent="0.2">
      <c r="A4" s="50" t="s">
        <v>853</v>
      </c>
      <c r="B4" s="114" t="s">
        <v>854</v>
      </c>
      <c r="C4" s="115"/>
      <c r="D4" s="116"/>
      <c r="E4" s="116"/>
      <c r="F4" s="116"/>
      <c r="G4" s="116"/>
      <c r="H4" s="116"/>
      <c r="I4" s="116"/>
    </row>
    <row r="6" spans="1:9" ht="13.5" x14ac:dyDescent="0.2">
      <c r="A6" s="51" t="s">
        <v>510</v>
      </c>
      <c r="B6" s="51" t="s">
        <v>511</v>
      </c>
      <c r="C6" s="51" t="s">
        <v>513</v>
      </c>
      <c r="D6" s="51" t="s">
        <v>514</v>
      </c>
      <c r="E6" s="51" t="s">
        <v>515</v>
      </c>
      <c r="F6" s="51" t="s">
        <v>516</v>
      </c>
      <c r="G6" s="51" t="s">
        <v>517</v>
      </c>
      <c r="H6" s="51" t="s">
        <v>518</v>
      </c>
      <c r="I6" s="51" t="s">
        <v>519</v>
      </c>
    </row>
    <row r="7" spans="1:9" ht="27.95" customHeight="1" x14ac:dyDescent="0.2">
      <c r="A7" s="61">
        <f>IFERROR(IF(INDEX('Data družstev'!$A$3:$HH$116,1,MATCH($B$3,'Data družstev'!$A$1:$HH$1,0)+0)="","",INDEX('Data družstev'!$A$3:$HH$116,1,MATCH($B$3,'Data družstev'!$A$1:$HH$1,0)+0)),"")</f>
        <v>46284</v>
      </c>
      <c r="B7" s="52" t="str">
        <f>IFERROR(IF(INDEX('Data družstev'!$A$3:$HH$116,1,MATCH($B$3,'Data družstev'!$A$1:$HH$1,0)+1)="","",INDEX('Data družstev'!$A$3:$HH$116,1,MATCH($B$3,'Data družstev'!$A$1:$HH$1,0)+1)),"")</f>
        <v>So</v>
      </c>
      <c r="C7" s="52" t="str">
        <f>IFERROR(IF(INDEX('Data družstev'!$A$3:$HH$116,1,MATCH($B$3,'Data družstev'!$A$1:$HH$1,0)+2)="","",INDEX('Data družstev'!$A$3:$HH$116,1,MATCH($B$3,'Data družstev'!$A$1:$HH$1,0)+2)),"")</f>
        <v>žákovská liga</v>
      </c>
      <c r="D7" s="52" t="str">
        <f>IFERROR(IF(INDEX('Data družstev'!$A$3:$HH$116,1,MATCH($B$3,'Data družstev'!$A$1:$HH$1,0)+3)="","",INDEX('Data družstev'!$A$3:$HH$116,1,MATCH($B$3,'Data družstev'!$A$1:$HH$1,0)+3)),"")</f>
        <v>Vlčice Žďár</v>
      </c>
      <c r="E7" s="64" t="str">
        <f>IFERROR(IF(INDEX('Data družstev'!$A$3:$HH$116,1,MATCH($B$3,'Data družstev'!$A$1:$HH$1,0)+4)="","",INDEX('Data družstev'!$A$3:$HH$116,1,MATCH($B$3,'Data družstev'!$A$1:$HH$1,0)+4)),"")</f>
        <v>122</v>
      </c>
      <c r="F7" s="52" t="str">
        <f>IFERROR(IF(INDEX('Data družstev'!$A$3:$HH$116,1,MATCH($B$3,'Data družstev'!$A$1:$HH$1,0)+5)="","",INDEX('Data družstev'!$A$3:$HH$116,1,MATCH($B$3,'Data družstev'!$A$1:$HH$1,0)+5)),"")</f>
        <v/>
      </c>
      <c r="G7" s="52" t="str">
        <f>IFERROR(IF(INDEX('Data družstev'!$A$3:$HH$116,1,MATCH($B$3,'Data družstev'!$A$1:$HH$1,0)+6)="","",INDEX('Data družstev'!$A$3:$HH$116,1,MATCH($B$3,'Data družstev'!$A$1:$HH$1,0)+6)),"")</f>
        <v/>
      </c>
      <c r="H7" s="52" t="str">
        <f>IFERROR(IF(INDEX('Data družstev'!$A$3:$HH$116,1,MATCH($B$3,'Data družstev'!$A$1:$HH$1,0)+7)="","",INDEX('Data družstev'!$A$3:$HH$116,1,MATCH($B$3,'Data družstev'!$A$1:$HH$1,0)+7)),"")</f>
        <v/>
      </c>
      <c r="I7" s="52" t="str">
        <f ca="1">IFERROR(IF(INDEX('Data družstev'!$A$3:$HH$116,1,MATCH($B$3,'Data družstev'!$A$1:$HH$1,0)+8)="","",INDEX('Data družstev'!$A$3:$HH$116,1,MATCH($B$3,'Data družstev'!$A$1:$HH$1,0)+8)),"")</f>
        <v>Nadcházející</v>
      </c>
    </row>
    <row r="8" spans="1:9" ht="27.95" customHeight="1" x14ac:dyDescent="0.2">
      <c r="A8" s="62">
        <f>IFERROR(IF(INDEX('Data družstev'!$A$3:$HH$116,2,MATCH($B$3,'Data družstev'!$A$1:$HH$1,0)+0)="","",INDEX('Data družstev'!$A$3:$HH$116,2,MATCH($B$3,'Data družstev'!$A$1:$HH$1,0)+0)),"")</f>
        <v>46285</v>
      </c>
      <c r="B8" s="53" t="str">
        <f>IFERROR(IF(INDEX('Data družstev'!$A$3:$HH$116,2,MATCH($B$3,'Data družstev'!$A$1:$HH$1,0)+1)="","",INDEX('Data družstev'!$A$3:$HH$116,2,MATCH($B$3,'Data družstev'!$A$1:$HH$1,0)+1)),"")</f>
        <v>Ne</v>
      </c>
      <c r="C8" s="53" t="str">
        <f>IFERROR(IF(INDEX('Data družstev'!$A$3:$HH$116,2,MATCH($B$3,'Data družstev'!$A$1:$HH$1,0)+2)="","",INDEX('Data družstev'!$A$3:$HH$116,2,MATCH($B$3,'Data družstev'!$A$1:$HH$1,0)+2)),"")</f>
        <v>žákovská liga</v>
      </c>
      <c r="D8" s="53" t="str">
        <f>IFERROR(IF(INDEX('Data družstev'!$A$3:$HH$116,2,MATCH($B$3,'Data družstev'!$A$1:$HH$1,0)+3)="","",INDEX('Data družstev'!$A$3:$HH$116,2,MATCH($B$3,'Data družstev'!$A$1:$HH$1,0)+3)),"")</f>
        <v>BK Blansko</v>
      </c>
      <c r="E8" s="65" t="str">
        <f>IFERROR(IF(INDEX('Data družstev'!$A$3:$HH$116,2,MATCH($B$3,'Data družstev'!$A$1:$HH$1,0)+4)="","",INDEX('Data družstev'!$A$3:$HH$116,2,MATCH($B$3,'Data družstev'!$A$1:$HH$1,0)+4)),"")</f>
        <v>124</v>
      </c>
      <c r="F8" s="53" t="str">
        <f>IFERROR(IF(INDEX('Data družstev'!$A$3:$HH$116,2,MATCH($B$3,'Data družstev'!$A$1:$HH$1,0)+5)="","",INDEX('Data družstev'!$A$3:$HH$116,2,MATCH($B$3,'Data družstev'!$A$1:$HH$1,0)+5)),"")</f>
        <v/>
      </c>
      <c r="G8" s="53" t="str">
        <f>IFERROR(IF(INDEX('Data družstev'!$A$3:$HH$116,2,MATCH($B$3,'Data družstev'!$A$1:$HH$1,0)+6)="","",INDEX('Data družstev'!$A$3:$HH$116,2,MATCH($B$3,'Data družstev'!$A$1:$HH$1,0)+6)),"")</f>
        <v/>
      </c>
      <c r="H8" s="53" t="str">
        <f>IFERROR(IF(INDEX('Data družstev'!$A$3:$HH$116,2,MATCH($B$3,'Data družstev'!$A$1:$HH$1,0)+7)="","",INDEX('Data družstev'!$A$3:$HH$116,2,MATCH($B$3,'Data družstev'!$A$1:$HH$1,0)+7)),"")</f>
        <v/>
      </c>
      <c r="I8" s="53" t="str">
        <f ca="1">IFERROR(IF(INDEX('Data družstev'!$A$3:$HH$116,2,MATCH($B$3,'Data družstev'!$A$1:$HH$1,0)+8)="","",INDEX('Data družstev'!$A$3:$HH$116,2,MATCH($B$3,'Data družstev'!$A$1:$HH$1,0)+8)),"")</f>
        <v>Nadcházející</v>
      </c>
    </row>
    <row r="9" spans="1:9" ht="27.95" customHeight="1" x14ac:dyDescent="0.2">
      <c r="A9" s="62">
        <f>IFERROR(IF(INDEX('Data družstev'!$A$3:$HH$116,3,MATCH($B$3,'Data družstev'!$A$1:$HH$1,0)+0)="","",INDEX('Data družstev'!$A$3:$HH$116,3,MATCH($B$3,'Data družstev'!$A$1:$HH$1,0)+0)),"")</f>
        <v>46298</v>
      </c>
      <c r="B9" s="53" t="str">
        <f>IFERROR(IF(INDEX('Data družstev'!$A$3:$HH$116,3,MATCH($B$3,'Data družstev'!$A$1:$HH$1,0)+1)="","",INDEX('Data družstev'!$A$3:$HH$116,3,MATCH($B$3,'Data družstev'!$A$1:$HH$1,0)+1)),"")</f>
        <v>So</v>
      </c>
      <c r="C9" s="53" t="str">
        <f>IFERROR(IF(INDEX('Data družstev'!$A$3:$HH$116,3,MATCH($B$3,'Data družstev'!$A$1:$HH$1,0)+2)="","",INDEX('Data družstev'!$A$3:$HH$116,3,MATCH($B$3,'Data družstev'!$A$1:$HH$1,0)+2)),"")</f>
        <v>žákovská liga</v>
      </c>
      <c r="D9" s="53" t="str">
        <f>IFERROR(IF(INDEX('Data družstev'!$A$3:$HH$116,3,MATCH($B$3,'Data družstev'!$A$1:$HH$1,0)+3)="","",INDEX('Data družstev'!$A$3:$HH$116,3,MATCH($B$3,'Data družstev'!$A$1:$HH$1,0)+3)),"")</f>
        <v>Žabiny Brno</v>
      </c>
      <c r="E9" s="65" t="str">
        <f>IFERROR(IF(INDEX('Data družstev'!$A$3:$HH$116,3,MATCH($B$3,'Data družstev'!$A$1:$HH$1,0)+4)="","",INDEX('Data družstev'!$A$3:$HH$116,3,MATCH($B$3,'Data družstev'!$A$1:$HH$1,0)+4)),"")</f>
        <v>127</v>
      </c>
      <c r="F9" s="53" t="str">
        <f>IFERROR(IF(INDEX('Data družstev'!$A$3:$HH$116,3,MATCH($B$3,'Data družstev'!$A$1:$HH$1,0)+5)="","",INDEX('Data družstev'!$A$3:$HH$116,3,MATCH($B$3,'Data družstev'!$A$1:$HH$1,0)+5)),"")</f>
        <v/>
      </c>
      <c r="G9" s="53" t="str">
        <f>IFERROR(IF(INDEX('Data družstev'!$A$3:$HH$116,3,MATCH($B$3,'Data družstev'!$A$1:$HH$1,0)+6)="","",INDEX('Data družstev'!$A$3:$HH$116,3,MATCH($B$3,'Data družstev'!$A$1:$HH$1,0)+6)),"")</f>
        <v/>
      </c>
      <c r="H9" s="53" t="str">
        <f>IFERROR(IF(INDEX('Data družstev'!$A$3:$HH$116,3,MATCH($B$3,'Data družstev'!$A$1:$HH$1,0)+7)="","",INDEX('Data družstev'!$A$3:$HH$116,3,MATCH($B$3,'Data družstev'!$A$1:$HH$1,0)+7)),"")</f>
        <v/>
      </c>
      <c r="I9" s="53" t="str">
        <f ca="1">IFERROR(IF(INDEX('Data družstev'!$A$3:$HH$116,3,MATCH($B$3,'Data družstev'!$A$1:$HH$1,0)+8)="","",INDEX('Data družstev'!$A$3:$HH$116,3,MATCH($B$3,'Data družstev'!$A$1:$HH$1,0)+8)),"")</f>
        <v>Nadcházející</v>
      </c>
    </row>
    <row r="10" spans="1:9" ht="27.95" customHeight="1" x14ac:dyDescent="0.2">
      <c r="A10" s="62">
        <f>IFERROR(IF(INDEX('Data družstev'!$A$3:$HH$116,4,MATCH($B$3,'Data družstev'!$A$1:$HH$1,0)+0)="","",INDEX('Data družstev'!$A$3:$HH$116,4,MATCH($B$3,'Data družstev'!$A$1:$HH$1,0)+0)),"")</f>
        <v>46299</v>
      </c>
      <c r="B10" s="53" t="str">
        <f>IFERROR(IF(INDEX('Data družstev'!$A$3:$HH$116,4,MATCH($B$3,'Data družstev'!$A$1:$HH$1,0)+1)="","",INDEX('Data družstev'!$A$3:$HH$116,4,MATCH($B$3,'Data družstev'!$A$1:$HH$1,0)+1)),"")</f>
        <v>Ne</v>
      </c>
      <c r="C10" s="53" t="str">
        <f>IFERROR(IF(INDEX('Data družstev'!$A$3:$HH$116,4,MATCH($B$3,'Data družstev'!$A$1:$HH$1,0)+2)="","",INDEX('Data družstev'!$A$3:$HH$116,4,MATCH($B$3,'Data družstev'!$A$1:$HH$1,0)+2)),"")</f>
        <v>žákovská liga</v>
      </c>
      <c r="D10" s="53" t="str">
        <f>IFERROR(IF(INDEX('Data družstev'!$A$3:$HH$116,4,MATCH($B$3,'Data družstev'!$A$1:$HH$1,0)+3)="","",INDEX('Data družstev'!$A$3:$HH$116,4,MATCH($B$3,'Data družstev'!$A$1:$HH$1,0)+3)),"")</f>
        <v>Žabiny Brno B</v>
      </c>
      <c r="E10" s="65" t="str">
        <f>IFERROR(IF(INDEX('Data družstev'!$A$3:$HH$116,4,MATCH($B$3,'Data družstev'!$A$1:$HH$1,0)+4)="","",INDEX('Data družstev'!$A$3:$HH$116,4,MATCH($B$3,'Data družstev'!$A$1:$HH$1,0)+4)),"")</f>
        <v>130</v>
      </c>
      <c r="F10" s="53" t="str">
        <f>IFERROR(IF(INDEX('Data družstev'!$A$3:$HH$116,4,MATCH($B$3,'Data družstev'!$A$1:$HH$1,0)+5)="","",INDEX('Data družstev'!$A$3:$HH$116,4,MATCH($B$3,'Data družstev'!$A$1:$HH$1,0)+5)),"")</f>
        <v/>
      </c>
      <c r="G10" s="53" t="str">
        <f>IFERROR(IF(INDEX('Data družstev'!$A$3:$HH$116,4,MATCH($B$3,'Data družstev'!$A$1:$HH$1,0)+6)="","",INDEX('Data družstev'!$A$3:$HH$116,4,MATCH($B$3,'Data družstev'!$A$1:$HH$1,0)+6)),"")</f>
        <v/>
      </c>
      <c r="H10" s="53" t="str">
        <f>IFERROR(IF(INDEX('Data družstev'!$A$3:$HH$116,4,MATCH($B$3,'Data družstev'!$A$1:$HH$1,0)+7)="","",INDEX('Data družstev'!$A$3:$HH$116,4,MATCH($B$3,'Data družstev'!$A$1:$HH$1,0)+7)),"")</f>
        <v/>
      </c>
      <c r="I10" s="53" t="str">
        <f ca="1">IFERROR(IF(INDEX('Data družstev'!$A$3:$HH$116,4,MATCH($B$3,'Data družstev'!$A$1:$HH$1,0)+8)="","",INDEX('Data družstev'!$A$3:$HH$116,4,MATCH($B$3,'Data družstev'!$A$1:$HH$1,0)+8)),"")</f>
        <v>Nadcházející</v>
      </c>
    </row>
    <row r="11" spans="1:9" ht="27.95" customHeight="1" x14ac:dyDescent="0.2">
      <c r="A11" s="62">
        <f>IFERROR(IF(INDEX('Data družstev'!$A$3:$HH$116,5,MATCH($B$3,'Data družstev'!$A$1:$HH$1,0)+0)="","",INDEX('Data družstev'!$A$3:$HH$116,5,MATCH($B$3,'Data družstev'!$A$1:$HH$1,0)+0)),"")</f>
        <v>46312</v>
      </c>
      <c r="B11" s="53" t="str">
        <f>IFERROR(IF(INDEX('Data družstev'!$A$3:$HH$116,5,MATCH($B$3,'Data družstev'!$A$1:$HH$1,0)+1)="","",INDEX('Data družstev'!$A$3:$HH$116,5,MATCH($B$3,'Data družstev'!$A$1:$HH$1,0)+1)),"")</f>
        <v>So</v>
      </c>
      <c r="C11" s="53" t="str">
        <f>IFERROR(IF(INDEX('Data družstev'!$A$3:$HH$116,5,MATCH($B$3,'Data družstev'!$A$1:$HH$1,0)+2)="","",INDEX('Data družstev'!$A$3:$HH$116,5,MATCH($B$3,'Data družstev'!$A$1:$HH$1,0)+2)),"")</f>
        <v>žákovská liga</v>
      </c>
      <c r="D11" s="53" t="str">
        <f>IFERROR(IF(INDEX('Data družstev'!$A$3:$HH$116,5,MATCH($B$3,'Data družstev'!$A$1:$HH$1,0)+3)="","",INDEX('Data družstev'!$A$3:$HH$116,5,MATCH($B$3,'Data družstev'!$A$1:$HH$1,0)+3)),"")</f>
        <v>Studánka Pardubice</v>
      </c>
      <c r="E11" s="65" t="str">
        <f>IFERROR(IF(INDEX('Data družstev'!$A$3:$HH$116,5,MATCH($B$3,'Data družstev'!$A$1:$HH$1,0)+4)="","",INDEX('Data družstev'!$A$3:$HH$116,5,MATCH($B$3,'Data družstev'!$A$1:$HH$1,0)+4)),"")</f>
        <v>131</v>
      </c>
      <c r="F11" s="53" t="str">
        <f>IFERROR(IF(INDEX('Data družstev'!$A$3:$HH$116,5,MATCH($B$3,'Data družstev'!$A$1:$HH$1,0)+5)="","",INDEX('Data družstev'!$A$3:$HH$116,5,MATCH($B$3,'Data družstev'!$A$1:$HH$1,0)+5)),"")</f>
        <v/>
      </c>
      <c r="G11" s="53" t="str">
        <f>IFERROR(IF(INDEX('Data družstev'!$A$3:$HH$116,5,MATCH($B$3,'Data družstev'!$A$1:$HH$1,0)+6)="","",INDEX('Data družstev'!$A$3:$HH$116,5,MATCH($B$3,'Data družstev'!$A$1:$HH$1,0)+6)),"")</f>
        <v/>
      </c>
      <c r="H11" s="53" t="str">
        <f>IFERROR(IF(INDEX('Data družstev'!$A$3:$HH$116,5,MATCH($B$3,'Data družstev'!$A$1:$HH$1,0)+7)="","",INDEX('Data družstev'!$A$3:$HH$116,5,MATCH($B$3,'Data družstev'!$A$1:$HH$1,0)+7)),"")</f>
        <v/>
      </c>
      <c r="I11" s="53" t="str">
        <f ca="1">IFERROR(IF(INDEX('Data družstev'!$A$3:$HH$116,5,MATCH($B$3,'Data družstev'!$A$1:$HH$1,0)+8)="","",INDEX('Data družstev'!$A$3:$HH$116,5,MATCH($B$3,'Data družstev'!$A$1:$HH$1,0)+8)),"")</f>
        <v>Nadcházející</v>
      </c>
    </row>
    <row r="12" spans="1:9" ht="27.95" customHeight="1" x14ac:dyDescent="0.2">
      <c r="A12" s="62">
        <f>IFERROR(IF(INDEX('Data družstev'!$A$3:$HH$116,6,MATCH($B$3,'Data družstev'!$A$1:$HH$1,0)+0)="","",INDEX('Data družstev'!$A$3:$HH$116,6,MATCH($B$3,'Data družstev'!$A$1:$HH$1,0)+0)),"")</f>
        <v>46333</v>
      </c>
      <c r="B12" s="53" t="str">
        <f>IFERROR(IF(INDEX('Data družstev'!$A$3:$HH$116,6,MATCH($B$3,'Data družstev'!$A$1:$HH$1,0)+1)="","",INDEX('Data družstev'!$A$3:$HH$116,6,MATCH($B$3,'Data družstev'!$A$1:$HH$1,0)+1)),"")</f>
        <v>So</v>
      </c>
      <c r="C12" s="53" t="str">
        <f>IFERROR(IF(INDEX('Data družstev'!$A$3:$HH$116,6,MATCH($B$3,'Data družstev'!$A$1:$HH$1,0)+2)="","",INDEX('Data družstev'!$A$3:$HH$116,6,MATCH($B$3,'Data družstev'!$A$1:$HH$1,0)+2)),"")</f>
        <v>žákovská liga</v>
      </c>
      <c r="D12" s="53" t="str">
        <f>IFERROR(IF(INDEX('Data družstev'!$A$3:$HH$116,6,MATCH($B$3,'Data družstev'!$A$1:$HH$1,0)+3)="","",INDEX('Data družstev'!$A$3:$HH$116,6,MATCH($B$3,'Data družstev'!$A$1:$HH$1,0)+3)),"")</f>
        <v>BK Blansko</v>
      </c>
      <c r="E12" s="65" t="str">
        <f>IFERROR(IF(INDEX('Data družstev'!$A$3:$HH$116,6,MATCH($B$3,'Data družstev'!$A$1:$HH$1,0)+4)="","",INDEX('Data družstev'!$A$3:$HH$116,6,MATCH($B$3,'Data družstev'!$A$1:$HH$1,0)+4)),"")</f>
        <v/>
      </c>
      <c r="F12" s="53" t="str">
        <f>IFERROR(IF(INDEX('Data družstev'!$A$3:$HH$116,6,MATCH($B$3,'Data družstev'!$A$1:$HH$1,0)+5)="","",INDEX('Data družstev'!$A$3:$HH$116,6,MATCH($B$3,'Data družstev'!$A$1:$HH$1,0)+5)),"")</f>
        <v/>
      </c>
      <c r="G12" s="53" t="str">
        <f>IFERROR(IF(INDEX('Data družstev'!$A$3:$HH$116,6,MATCH($B$3,'Data družstev'!$A$1:$HH$1,0)+6)="","",INDEX('Data družstev'!$A$3:$HH$116,6,MATCH($B$3,'Data družstev'!$A$1:$HH$1,0)+6)),"")</f>
        <v/>
      </c>
      <c r="H12" s="53" t="str">
        <f>IFERROR(IF(INDEX('Data družstev'!$A$3:$HH$116,6,MATCH($B$3,'Data družstev'!$A$1:$HH$1,0)+7)="","",INDEX('Data družstev'!$A$3:$HH$116,6,MATCH($B$3,'Data družstev'!$A$1:$HH$1,0)+7)),"")</f>
        <v/>
      </c>
      <c r="I12" s="53" t="str">
        <f ca="1">IFERROR(IF(INDEX('Data družstev'!$A$3:$HH$116,6,MATCH($B$3,'Data družstev'!$A$1:$HH$1,0)+8)="","",INDEX('Data družstev'!$A$3:$HH$116,6,MATCH($B$3,'Data družstev'!$A$1:$HH$1,0)+8)),"")</f>
        <v>Nadcházející</v>
      </c>
    </row>
    <row r="13" spans="1:9" ht="27.95" customHeight="1" x14ac:dyDescent="0.2">
      <c r="A13" s="62">
        <f>IFERROR(IF(INDEX('Data družstev'!$A$3:$HH$116,7,MATCH($B$3,'Data družstev'!$A$1:$HH$1,0)+0)="","",INDEX('Data družstev'!$A$3:$HH$116,7,MATCH($B$3,'Data družstev'!$A$1:$HH$1,0)+0)),"")</f>
        <v>46334</v>
      </c>
      <c r="B13" s="53" t="str">
        <f>IFERROR(IF(INDEX('Data družstev'!$A$3:$HH$116,7,MATCH($B$3,'Data družstev'!$A$1:$HH$1,0)+1)="","",INDEX('Data družstev'!$A$3:$HH$116,7,MATCH($B$3,'Data družstev'!$A$1:$HH$1,0)+1)),"")</f>
        <v>Ne</v>
      </c>
      <c r="C13" s="53" t="str">
        <f>IFERROR(IF(INDEX('Data družstev'!$A$3:$HH$116,7,MATCH($B$3,'Data družstev'!$A$1:$HH$1,0)+2)="","",INDEX('Data družstev'!$A$3:$HH$116,7,MATCH($B$3,'Data družstev'!$A$1:$HH$1,0)+2)),"")</f>
        <v>žákovská liga</v>
      </c>
      <c r="D13" s="53" t="str">
        <f>IFERROR(IF(INDEX('Data družstev'!$A$3:$HH$116,7,MATCH($B$3,'Data družstev'!$A$1:$HH$1,0)+3)="","",INDEX('Data družstev'!$A$3:$HH$116,7,MATCH($B$3,'Data družstev'!$A$1:$HH$1,0)+3)),"")</f>
        <v>Vlčice Žďár</v>
      </c>
      <c r="E13" s="65" t="str">
        <f>IFERROR(IF(INDEX('Data družstev'!$A$3:$HH$116,7,MATCH($B$3,'Data družstev'!$A$1:$HH$1,0)+4)="","",INDEX('Data družstev'!$A$3:$HH$116,7,MATCH($B$3,'Data družstev'!$A$1:$HH$1,0)+4)),"")</f>
        <v>139</v>
      </c>
      <c r="F13" s="53" t="str">
        <f>IFERROR(IF(INDEX('Data družstev'!$A$3:$HH$116,7,MATCH($B$3,'Data družstev'!$A$1:$HH$1,0)+5)="","",INDEX('Data družstev'!$A$3:$HH$116,7,MATCH($B$3,'Data družstev'!$A$1:$HH$1,0)+5)),"")</f>
        <v/>
      </c>
      <c r="G13" s="53" t="str">
        <f>IFERROR(IF(INDEX('Data družstev'!$A$3:$HH$116,7,MATCH($B$3,'Data družstev'!$A$1:$HH$1,0)+6)="","",INDEX('Data družstev'!$A$3:$HH$116,7,MATCH($B$3,'Data družstev'!$A$1:$HH$1,0)+6)),"")</f>
        <v/>
      </c>
      <c r="H13" s="53" t="str">
        <f>IFERROR(IF(INDEX('Data družstev'!$A$3:$HH$116,7,MATCH($B$3,'Data družstev'!$A$1:$HH$1,0)+7)="","",INDEX('Data družstev'!$A$3:$HH$116,7,MATCH($B$3,'Data družstev'!$A$1:$HH$1,0)+7)),"")</f>
        <v/>
      </c>
      <c r="I13" s="53" t="str">
        <f ca="1">IFERROR(IF(INDEX('Data družstev'!$A$3:$HH$116,7,MATCH($B$3,'Data družstev'!$A$1:$HH$1,0)+8)="","",INDEX('Data družstev'!$A$3:$HH$116,7,MATCH($B$3,'Data družstev'!$A$1:$HH$1,0)+8)),"")</f>
        <v>Nadcházející</v>
      </c>
    </row>
    <row r="14" spans="1:9" ht="27.95" customHeight="1" x14ac:dyDescent="0.2">
      <c r="A14" s="62">
        <f>IFERROR(IF(INDEX('Data družstev'!$A$3:$HH$116,8,MATCH($B$3,'Data družstev'!$A$1:$HH$1,0)+0)="","",INDEX('Data družstev'!$A$3:$HH$116,8,MATCH($B$3,'Data družstev'!$A$1:$HH$1,0)+0)),"")</f>
        <v>46347</v>
      </c>
      <c r="B14" s="53" t="str">
        <f>IFERROR(IF(INDEX('Data družstev'!$A$3:$HH$116,8,MATCH($B$3,'Data družstev'!$A$1:$HH$1,0)+1)="","",INDEX('Data družstev'!$A$3:$HH$116,8,MATCH($B$3,'Data družstev'!$A$1:$HH$1,0)+1)),"")</f>
        <v>So</v>
      </c>
      <c r="C14" s="53" t="str">
        <f>IFERROR(IF(INDEX('Data družstev'!$A$3:$HH$116,8,MATCH($B$3,'Data družstev'!$A$1:$HH$1,0)+2)="","",INDEX('Data družstev'!$A$3:$HH$116,8,MATCH($B$3,'Data družstev'!$A$1:$HH$1,0)+2)),"")</f>
        <v>žákovská liga</v>
      </c>
      <c r="D14" s="53" t="str">
        <f>IFERROR(IF(INDEX('Data družstev'!$A$3:$HH$116,8,MATCH($B$3,'Data družstev'!$A$1:$HH$1,0)+3)="","",INDEX('Data družstev'!$A$3:$HH$116,8,MATCH($B$3,'Data družstev'!$A$1:$HH$1,0)+3)),"")</f>
        <v>Žabiny Brno B</v>
      </c>
      <c r="E14" s="65" t="str">
        <f>IFERROR(IF(INDEX('Data družstev'!$A$3:$HH$116,8,MATCH($B$3,'Data družstev'!$A$1:$HH$1,0)+4)="","",INDEX('Data družstev'!$A$3:$HH$116,8,MATCH($B$3,'Data družstev'!$A$1:$HH$1,0)+4)),"")</f>
        <v>142</v>
      </c>
      <c r="F14" s="53" t="str">
        <f>IFERROR(IF(INDEX('Data družstev'!$A$3:$HH$116,8,MATCH($B$3,'Data družstev'!$A$1:$HH$1,0)+5)="","",INDEX('Data družstev'!$A$3:$HH$116,8,MATCH($B$3,'Data družstev'!$A$1:$HH$1,0)+5)),"")</f>
        <v/>
      </c>
      <c r="G14" s="53" t="str">
        <f>IFERROR(IF(INDEX('Data družstev'!$A$3:$HH$116,8,MATCH($B$3,'Data družstev'!$A$1:$HH$1,0)+6)="","",INDEX('Data družstev'!$A$3:$HH$116,8,MATCH($B$3,'Data družstev'!$A$1:$HH$1,0)+6)),"")</f>
        <v/>
      </c>
      <c r="H14" s="53" t="str">
        <f>IFERROR(IF(INDEX('Data družstev'!$A$3:$HH$116,8,MATCH($B$3,'Data družstev'!$A$1:$HH$1,0)+7)="","",INDEX('Data družstev'!$A$3:$HH$116,8,MATCH($B$3,'Data družstev'!$A$1:$HH$1,0)+7)),"")</f>
        <v/>
      </c>
      <c r="I14" s="53" t="str">
        <f ca="1">IFERROR(IF(INDEX('Data družstev'!$A$3:$HH$116,8,MATCH($B$3,'Data družstev'!$A$1:$HH$1,0)+8)="","",INDEX('Data družstev'!$A$3:$HH$116,8,MATCH($B$3,'Data družstev'!$A$1:$HH$1,0)+8)),"")</f>
        <v>Nadcházející</v>
      </c>
    </row>
    <row r="15" spans="1:9" ht="27.95" customHeight="1" x14ac:dyDescent="0.2">
      <c r="A15" s="62">
        <f>IFERROR(IF(INDEX('Data družstev'!$A$3:$HH$116,9,MATCH($B$3,'Data družstev'!$A$1:$HH$1,0)+0)="","",INDEX('Data družstev'!$A$3:$HH$116,9,MATCH($B$3,'Data družstev'!$A$1:$HH$1,0)+0)),"")</f>
        <v>46348</v>
      </c>
      <c r="B15" s="53" t="str">
        <f>IFERROR(IF(INDEX('Data družstev'!$A$3:$HH$116,9,MATCH($B$3,'Data družstev'!$A$1:$HH$1,0)+1)="","",INDEX('Data družstev'!$A$3:$HH$116,9,MATCH($B$3,'Data družstev'!$A$1:$HH$1,0)+1)),"")</f>
        <v>Ne</v>
      </c>
      <c r="C15" s="53" t="str">
        <f>IFERROR(IF(INDEX('Data družstev'!$A$3:$HH$116,9,MATCH($B$3,'Data družstev'!$A$1:$HH$1,0)+2)="","",INDEX('Data družstev'!$A$3:$HH$116,9,MATCH($B$3,'Data družstev'!$A$1:$HH$1,0)+2)),"")</f>
        <v>žákovská liga</v>
      </c>
      <c r="D15" s="53" t="str">
        <f>IFERROR(IF(INDEX('Data družstev'!$A$3:$HH$116,9,MATCH($B$3,'Data družstev'!$A$1:$HH$1,0)+3)="","",INDEX('Data družstev'!$A$3:$HH$116,9,MATCH($B$3,'Data družstev'!$A$1:$HH$1,0)+3)),"")</f>
        <v>Žabiny Brno</v>
      </c>
      <c r="E15" s="65" t="str">
        <f>IFERROR(IF(INDEX('Data družstev'!$A$3:$HH$116,9,MATCH($B$3,'Data družstev'!$A$1:$HH$1,0)+4)="","",INDEX('Data družstev'!$A$3:$HH$116,9,MATCH($B$3,'Data družstev'!$A$1:$HH$1,0)+4)),"")</f>
        <v>144</v>
      </c>
      <c r="F15" s="53" t="str">
        <f>IFERROR(IF(INDEX('Data družstev'!$A$3:$HH$116,9,MATCH($B$3,'Data družstev'!$A$1:$HH$1,0)+5)="","",INDEX('Data družstev'!$A$3:$HH$116,9,MATCH($B$3,'Data družstev'!$A$1:$HH$1,0)+5)),"")</f>
        <v/>
      </c>
      <c r="G15" s="53" t="str">
        <f>IFERROR(IF(INDEX('Data družstev'!$A$3:$HH$116,9,MATCH($B$3,'Data družstev'!$A$1:$HH$1,0)+6)="","",INDEX('Data družstev'!$A$3:$HH$116,9,MATCH($B$3,'Data družstev'!$A$1:$HH$1,0)+6)),"")</f>
        <v/>
      </c>
      <c r="H15" s="53" t="str">
        <f>IFERROR(IF(INDEX('Data družstev'!$A$3:$HH$116,9,MATCH($B$3,'Data družstev'!$A$1:$HH$1,0)+7)="","",INDEX('Data družstev'!$A$3:$HH$116,9,MATCH($B$3,'Data družstev'!$A$1:$HH$1,0)+7)),"")</f>
        <v/>
      </c>
      <c r="I15" s="53" t="str">
        <f ca="1">IFERROR(IF(INDEX('Data družstev'!$A$3:$HH$116,9,MATCH($B$3,'Data družstev'!$A$1:$HH$1,0)+8)="","",INDEX('Data družstev'!$A$3:$HH$116,9,MATCH($B$3,'Data družstev'!$A$1:$HH$1,0)+8)),"")</f>
        <v>Nadcházející</v>
      </c>
    </row>
    <row r="16" spans="1:9" ht="27.95" customHeight="1" x14ac:dyDescent="0.2">
      <c r="A16" s="62">
        <f>IFERROR(IF(INDEX('Data družstev'!$A$3:$HH$116,10,MATCH($B$3,'Data družstev'!$A$1:$HH$1,0)+0)="","",INDEX('Data družstev'!$A$3:$HH$116,10,MATCH($B$3,'Data družstev'!$A$1:$HH$1,0)+0)),"")</f>
        <v>46369</v>
      </c>
      <c r="B16" s="53" t="str">
        <f>IFERROR(IF(INDEX('Data družstev'!$A$3:$HH$116,10,MATCH($B$3,'Data družstev'!$A$1:$HH$1,0)+1)="","",INDEX('Data družstev'!$A$3:$HH$116,10,MATCH($B$3,'Data družstev'!$A$1:$HH$1,0)+1)),"")</f>
        <v>Ne</v>
      </c>
      <c r="C16" s="53" t="str">
        <f>IFERROR(IF(INDEX('Data družstev'!$A$3:$HH$116,10,MATCH($B$3,'Data družstev'!$A$1:$HH$1,0)+2)="","",INDEX('Data družstev'!$A$3:$HH$116,10,MATCH($B$3,'Data družstev'!$A$1:$HH$1,0)+2)),"")</f>
        <v>žákovská liga</v>
      </c>
      <c r="D16" s="53" t="str">
        <f>IFERROR(IF(INDEX('Data družstev'!$A$3:$HH$116,10,MATCH($B$3,'Data družstev'!$A$1:$HH$1,0)+3)="","",INDEX('Data družstev'!$A$3:$HH$116,10,MATCH($B$3,'Data družstev'!$A$1:$HH$1,0)+3)),"")</f>
        <v>Studánka Pardubice</v>
      </c>
      <c r="E16" s="65" t="str">
        <f>IFERROR(IF(INDEX('Data družstev'!$A$3:$HH$116,10,MATCH($B$3,'Data družstev'!$A$1:$HH$1,0)+4)="","",INDEX('Data družstev'!$A$3:$HH$116,10,MATCH($B$3,'Data družstev'!$A$1:$HH$1,0)+4)),"")</f>
        <v>148</v>
      </c>
      <c r="F16" s="53" t="str">
        <f>IFERROR(IF(INDEX('Data družstev'!$A$3:$HH$116,10,MATCH($B$3,'Data družstev'!$A$1:$HH$1,0)+5)="","",INDEX('Data družstev'!$A$3:$HH$116,10,MATCH($B$3,'Data družstev'!$A$1:$HH$1,0)+5)),"")</f>
        <v/>
      </c>
      <c r="G16" s="53" t="str">
        <f>IFERROR(IF(INDEX('Data družstev'!$A$3:$HH$116,10,MATCH($B$3,'Data družstev'!$A$1:$HH$1,0)+6)="","",INDEX('Data družstev'!$A$3:$HH$116,10,MATCH($B$3,'Data družstev'!$A$1:$HH$1,0)+6)),"")</f>
        <v/>
      </c>
      <c r="H16" s="53" t="str">
        <f>IFERROR(IF(INDEX('Data družstev'!$A$3:$HH$116,10,MATCH($B$3,'Data družstev'!$A$1:$HH$1,0)+7)="","",INDEX('Data družstev'!$A$3:$HH$116,10,MATCH($B$3,'Data družstev'!$A$1:$HH$1,0)+7)),"")</f>
        <v/>
      </c>
      <c r="I16" s="53" t="str">
        <f ca="1">IFERROR(IF(INDEX('Data družstev'!$A$3:$HH$116,10,MATCH($B$3,'Data družstev'!$A$1:$HH$1,0)+8)="","",INDEX('Data družstev'!$A$3:$HH$116,10,MATCH($B$3,'Data družstev'!$A$1:$HH$1,0)+8)),"")</f>
        <v>Nadcházející</v>
      </c>
    </row>
    <row r="17" spans="1:9" ht="27.95" customHeight="1" x14ac:dyDescent="0.2">
      <c r="A17" s="62">
        <f>IFERROR(IF(INDEX('Data družstev'!$A$3:$HH$116,11,MATCH($B$3,'Data družstev'!$A$1:$HH$1,0)+0)="","",INDEX('Data družstev'!$A$3:$HH$116,11,MATCH($B$3,'Data družstev'!$A$1:$HH$1,0)+0)),"")</f>
        <v>46403</v>
      </c>
      <c r="B17" s="53" t="str">
        <f>IFERROR(IF(INDEX('Data družstev'!$A$3:$HH$116,11,MATCH($B$3,'Data družstev'!$A$1:$HH$1,0)+1)="","",INDEX('Data družstev'!$A$3:$HH$116,11,MATCH($B$3,'Data družstev'!$A$1:$HH$1,0)+1)),"")</f>
        <v>So</v>
      </c>
      <c r="C17" s="53" t="str">
        <f>IFERROR(IF(INDEX('Data družstev'!$A$3:$HH$116,11,MATCH($B$3,'Data družstev'!$A$1:$HH$1,0)+2)="","",INDEX('Data družstev'!$A$3:$HH$116,11,MATCH($B$3,'Data družstev'!$A$1:$HH$1,0)+2)),"")</f>
        <v>žákovská liga</v>
      </c>
      <c r="D17" s="53" t="str">
        <f>IFERROR(IF(INDEX('Data družstev'!$A$3:$HH$116,11,MATCH($B$3,'Data družstev'!$A$1:$HH$1,0)+3)="","",INDEX('Data družstev'!$A$3:$HH$116,11,MATCH($B$3,'Data družstev'!$A$1:$HH$1,0)+3)),"")</f>
        <v>F1, S1</v>
      </c>
      <c r="E17" s="65" t="str">
        <f>IFERROR(IF(INDEX('Data družstev'!$A$3:$HH$116,11,MATCH($B$3,'Data družstev'!$A$1:$HH$1,0)+4)="","",INDEX('Data družstev'!$A$3:$HH$116,11,MATCH($B$3,'Data družstev'!$A$1:$HH$1,0)+4)),"")</f>
        <v/>
      </c>
      <c r="F17" s="53" t="str">
        <f>IFERROR(IF(INDEX('Data družstev'!$A$3:$HH$116,11,MATCH($B$3,'Data družstev'!$A$1:$HH$1,0)+5)="","",INDEX('Data družstev'!$A$3:$HH$116,11,MATCH($B$3,'Data družstev'!$A$1:$HH$1,0)+5)),"")</f>
        <v/>
      </c>
      <c r="G17" s="53" t="str">
        <f>IFERROR(IF(INDEX('Data družstev'!$A$3:$HH$116,11,MATCH($B$3,'Data družstev'!$A$1:$HH$1,0)+6)="","",INDEX('Data družstev'!$A$3:$HH$116,11,MATCH($B$3,'Data družstev'!$A$1:$HH$1,0)+6)),"")</f>
        <v/>
      </c>
      <c r="H17" s="53" t="str">
        <f>IFERROR(IF(INDEX('Data družstev'!$A$3:$HH$116,11,MATCH($B$3,'Data družstev'!$A$1:$HH$1,0)+7)="","",INDEX('Data družstev'!$A$3:$HH$116,11,MATCH($B$3,'Data družstev'!$A$1:$HH$1,0)+7)),"")</f>
        <v/>
      </c>
      <c r="I17" s="53" t="str">
        <f ca="1">IFERROR(IF(INDEX('Data družstev'!$A$3:$HH$116,11,MATCH($B$3,'Data družstev'!$A$1:$HH$1,0)+8)="","",INDEX('Data družstev'!$A$3:$HH$116,11,MATCH($B$3,'Data družstev'!$A$1:$HH$1,0)+8)),"")</f>
        <v>Nadcházející</v>
      </c>
    </row>
    <row r="18" spans="1:9" ht="27.95" customHeight="1" x14ac:dyDescent="0.2">
      <c r="A18" s="62">
        <f>IFERROR(IF(INDEX('Data družstev'!$A$3:$HH$116,12,MATCH($B$3,'Data družstev'!$A$1:$HH$1,0)+0)="","",INDEX('Data družstev'!$A$3:$HH$116,12,MATCH($B$3,'Data družstev'!$A$1:$HH$1,0)+0)),"")</f>
        <v>46404</v>
      </c>
      <c r="B18" s="53" t="str">
        <f>IFERROR(IF(INDEX('Data družstev'!$A$3:$HH$116,12,MATCH($B$3,'Data družstev'!$A$1:$HH$1,0)+1)="","",INDEX('Data družstev'!$A$3:$HH$116,12,MATCH($B$3,'Data družstev'!$A$1:$HH$1,0)+1)),"")</f>
        <v>Ne</v>
      </c>
      <c r="C18" s="53" t="str">
        <f>IFERROR(IF(INDEX('Data družstev'!$A$3:$HH$116,12,MATCH($B$3,'Data družstev'!$A$1:$HH$1,0)+2)="","",INDEX('Data družstev'!$A$3:$HH$116,12,MATCH($B$3,'Data družstev'!$A$1:$HH$1,0)+2)),"")</f>
        <v>žákovská liga</v>
      </c>
      <c r="D18" s="53" t="str">
        <f>IFERROR(IF(INDEX('Data družstev'!$A$3:$HH$116,12,MATCH($B$3,'Data družstev'!$A$1:$HH$1,0)+3)="","",INDEX('Data družstev'!$A$3:$HH$116,12,MATCH($B$3,'Data družstev'!$A$1:$HH$1,0)+3)),"")</f>
        <v>F1, S1</v>
      </c>
      <c r="E18" s="65" t="str">
        <f>IFERROR(IF(INDEX('Data družstev'!$A$3:$HH$116,12,MATCH($B$3,'Data družstev'!$A$1:$HH$1,0)+4)="","",INDEX('Data družstev'!$A$3:$HH$116,12,MATCH($B$3,'Data družstev'!$A$1:$HH$1,0)+4)),"")</f>
        <v/>
      </c>
      <c r="F18" s="53" t="str">
        <f>IFERROR(IF(INDEX('Data družstev'!$A$3:$HH$116,12,MATCH($B$3,'Data družstev'!$A$1:$HH$1,0)+5)="","",INDEX('Data družstev'!$A$3:$HH$116,12,MATCH($B$3,'Data družstev'!$A$1:$HH$1,0)+5)),"")</f>
        <v/>
      </c>
      <c r="G18" s="53" t="str">
        <f>IFERROR(IF(INDEX('Data družstev'!$A$3:$HH$116,12,MATCH($B$3,'Data družstev'!$A$1:$HH$1,0)+6)="","",INDEX('Data družstev'!$A$3:$HH$116,12,MATCH($B$3,'Data družstev'!$A$1:$HH$1,0)+6)),"")</f>
        <v/>
      </c>
      <c r="H18" s="53" t="str">
        <f>IFERROR(IF(INDEX('Data družstev'!$A$3:$HH$116,12,MATCH($B$3,'Data družstev'!$A$1:$HH$1,0)+7)="","",INDEX('Data družstev'!$A$3:$HH$116,12,MATCH($B$3,'Data družstev'!$A$1:$HH$1,0)+7)),"")</f>
        <v/>
      </c>
      <c r="I18" s="53" t="str">
        <f ca="1">IFERROR(IF(INDEX('Data družstev'!$A$3:$HH$116,12,MATCH($B$3,'Data družstev'!$A$1:$HH$1,0)+8)="","",INDEX('Data družstev'!$A$3:$HH$116,12,MATCH($B$3,'Data družstev'!$A$1:$HH$1,0)+8)),"")</f>
        <v>Nadcházející</v>
      </c>
    </row>
    <row r="19" spans="1:9" ht="27.95" customHeight="1" x14ac:dyDescent="0.2">
      <c r="A19" s="62">
        <f>IFERROR(IF(INDEX('Data družstev'!$A$3:$HH$116,13,MATCH($B$3,'Data družstev'!$A$1:$HH$1,0)+0)="","",INDEX('Data družstev'!$A$3:$HH$116,13,MATCH($B$3,'Data družstev'!$A$1:$HH$1,0)+0)),"")</f>
        <v>46407</v>
      </c>
      <c r="B19" s="53" t="str">
        <f>IFERROR(IF(INDEX('Data družstev'!$A$3:$HH$116,13,MATCH($B$3,'Data družstev'!$A$1:$HH$1,0)+1)="","",INDEX('Data družstev'!$A$3:$HH$116,13,MATCH($B$3,'Data družstev'!$A$1:$HH$1,0)+1)),"")</f>
        <v>St</v>
      </c>
      <c r="C19" s="53" t="str">
        <f>IFERROR(IF(INDEX('Data družstev'!$A$3:$HH$116,13,MATCH($B$3,'Data družstev'!$A$1:$HH$1,0)+2)="","",INDEX('Data družstev'!$A$3:$HH$116,13,MATCH($B$3,'Data družstev'!$A$1:$HH$1,0)+2)),"")</f>
        <v>žákovská liga</v>
      </c>
      <c r="D19" s="53" t="str">
        <f>IFERROR(IF(INDEX('Data družstev'!$A$3:$HH$116,13,MATCH($B$3,'Data družstev'!$A$1:$HH$1,0)+3)="","",INDEX('Data družstev'!$A$3:$HH$116,13,MATCH($B$3,'Data družstev'!$A$1:$HH$1,0)+3)),"")</f>
        <v>FD, SD</v>
      </c>
      <c r="E19" s="65" t="str">
        <f>IFERROR(IF(INDEX('Data družstev'!$A$3:$HH$116,13,MATCH($B$3,'Data družstev'!$A$1:$HH$1,0)+4)="","",INDEX('Data družstev'!$A$3:$HH$116,13,MATCH($B$3,'Data družstev'!$A$1:$HH$1,0)+4)),"")</f>
        <v/>
      </c>
      <c r="F19" s="53" t="str">
        <f>IFERROR(IF(INDEX('Data družstev'!$A$3:$HH$116,13,MATCH($B$3,'Data družstev'!$A$1:$HH$1,0)+5)="","",INDEX('Data družstev'!$A$3:$HH$116,13,MATCH($B$3,'Data družstev'!$A$1:$HH$1,0)+5)),"")</f>
        <v/>
      </c>
      <c r="G19" s="53" t="str">
        <f>IFERROR(IF(INDEX('Data družstev'!$A$3:$HH$116,13,MATCH($B$3,'Data družstev'!$A$1:$HH$1,0)+6)="","",INDEX('Data družstev'!$A$3:$HH$116,13,MATCH($B$3,'Data družstev'!$A$1:$HH$1,0)+6)),"")</f>
        <v/>
      </c>
      <c r="H19" s="53" t="str">
        <f>IFERROR(IF(INDEX('Data družstev'!$A$3:$HH$116,13,MATCH($B$3,'Data družstev'!$A$1:$HH$1,0)+7)="","",INDEX('Data družstev'!$A$3:$HH$116,13,MATCH($B$3,'Data družstev'!$A$1:$HH$1,0)+7)),"")</f>
        <v/>
      </c>
      <c r="I19" s="53" t="str">
        <f ca="1">IFERROR(IF(INDEX('Data družstev'!$A$3:$HH$116,13,MATCH($B$3,'Data družstev'!$A$1:$HH$1,0)+8)="","",INDEX('Data družstev'!$A$3:$HH$116,13,MATCH($B$3,'Data družstev'!$A$1:$HH$1,0)+8)),"")</f>
        <v>Nadcházející</v>
      </c>
    </row>
    <row r="20" spans="1:9" ht="27.95" customHeight="1" x14ac:dyDescent="0.2">
      <c r="A20" s="62">
        <f>IFERROR(IF(INDEX('Data družstev'!$A$3:$HH$116,14,MATCH($B$3,'Data družstev'!$A$1:$HH$1,0)+0)="","",INDEX('Data družstev'!$A$3:$HH$116,14,MATCH($B$3,'Data družstev'!$A$1:$HH$1,0)+0)),"")</f>
        <v>46424</v>
      </c>
      <c r="B20" s="53" t="str">
        <f>IFERROR(IF(INDEX('Data družstev'!$A$3:$HH$116,14,MATCH($B$3,'Data družstev'!$A$1:$HH$1,0)+1)="","",INDEX('Data družstev'!$A$3:$HH$116,14,MATCH($B$3,'Data družstev'!$A$1:$HH$1,0)+1)),"")</f>
        <v>So</v>
      </c>
      <c r="C20" s="53" t="str">
        <f>IFERROR(IF(INDEX('Data družstev'!$A$3:$HH$116,14,MATCH($B$3,'Data družstev'!$A$1:$HH$1,0)+2)="","",INDEX('Data družstev'!$A$3:$HH$116,14,MATCH($B$3,'Data družstev'!$A$1:$HH$1,0)+2)),"")</f>
        <v>žákovská liga</v>
      </c>
      <c r="D20" s="53" t="str">
        <f>IFERROR(IF(INDEX('Data družstev'!$A$3:$HH$116,14,MATCH($B$3,'Data družstev'!$A$1:$HH$1,0)+3)="","",INDEX('Data družstev'!$A$3:$HH$116,14,MATCH($B$3,'Data družstev'!$A$1:$HH$1,0)+3)),"")</f>
        <v>F2, S2</v>
      </c>
      <c r="E20" s="65" t="str">
        <f>IFERROR(IF(INDEX('Data družstev'!$A$3:$HH$116,14,MATCH($B$3,'Data družstev'!$A$1:$HH$1,0)+4)="","",INDEX('Data družstev'!$A$3:$HH$116,14,MATCH($B$3,'Data družstev'!$A$1:$HH$1,0)+4)),"")</f>
        <v/>
      </c>
      <c r="F20" s="53" t="str">
        <f>IFERROR(IF(INDEX('Data družstev'!$A$3:$HH$116,14,MATCH($B$3,'Data družstev'!$A$1:$HH$1,0)+5)="","",INDEX('Data družstev'!$A$3:$HH$116,14,MATCH($B$3,'Data družstev'!$A$1:$HH$1,0)+5)),"")</f>
        <v/>
      </c>
      <c r="G20" s="53" t="str">
        <f>IFERROR(IF(INDEX('Data družstev'!$A$3:$HH$116,14,MATCH($B$3,'Data družstev'!$A$1:$HH$1,0)+6)="","",INDEX('Data družstev'!$A$3:$HH$116,14,MATCH($B$3,'Data družstev'!$A$1:$HH$1,0)+6)),"")</f>
        <v/>
      </c>
      <c r="H20" s="53" t="str">
        <f>IFERROR(IF(INDEX('Data družstev'!$A$3:$HH$116,14,MATCH($B$3,'Data družstev'!$A$1:$HH$1,0)+7)="","",INDEX('Data družstev'!$A$3:$HH$116,14,MATCH($B$3,'Data družstev'!$A$1:$HH$1,0)+7)),"")</f>
        <v/>
      </c>
      <c r="I20" s="53" t="str">
        <f ca="1">IFERROR(IF(INDEX('Data družstev'!$A$3:$HH$116,14,MATCH($B$3,'Data družstev'!$A$1:$HH$1,0)+8)="","",INDEX('Data družstev'!$A$3:$HH$116,14,MATCH($B$3,'Data družstev'!$A$1:$HH$1,0)+8)),"")</f>
        <v>Nadcházející</v>
      </c>
    </row>
    <row r="21" spans="1:9" ht="27.95" customHeight="1" x14ac:dyDescent="0.2">
      <c r="A21" s="62">
        <f>IFERROR(IF(INDEX('Data družstev'!$A$3:$HH$116,15,MATCH($B$3,'Data družstev'!$A$1:$HH$1,0)+0)="","",INDEX('Data družstev'!$A$3:$HH$116,15,MATCH($B$3,'Data družstev'!$A$1:$HH$1,0)+0)),"")</f>
        <v>46425</v>
      </c>
      <c r="B21" s="53" t="str">
        <f>IFERROR(IF(INDEX('Data družstev'!$A$3:$HH$116,15,MATCH($B$3,'Data družstev'!$A$1:$HH$1,0)+1)="","",INDEX('Data družstev'!$A$3:$HH$116,15,MATCH($B$3,'Data družstev'!$A$1:$HH$1,0)+1)),"")</f>
        <v>Ne</v>
      </c>
      <c r="C21" s="53" t="str">
        <f>IFERROR(IF(INDEX('Data družstev'!$A$3:$HH$116,15,MATCH($B$3,'Data družstev'!$A$1:$HH$1,0)+2)="","",INDEX('Data družstev'!$A$3:$HH$116,15,MATCH($B$3,'Data družstev'!$A$1:$HH$1,0)+2)),"")</f>
        <v>žákovská liga</v>
      </c>
      <c r="D21" s="53" t="str">
        <f>IFERROR(IF(INDEX('Data družstev'!$A$3:$HH$116,15,MATCH($B$3,'Data družstev'!$A$1:$HH$1,0)+3)="","",INDEX('Data družstev'!$A$3:$HH$116,15,MATCH($B$3,'Data družstev'!$A$1:$HH$1,0)+3)),"")</f>
        <v>F2, S2</v>
      </c>
      <c r="E21" s="65" t="str">
        <f>IFERROR(IF(INDEX('Data družstev'!$A$3:$HH$116,15,MATCH($B$3,'Data družstev'!$A$1:$HH$1,0)+4)="","",INDEX('Data družstev'!$A$3:$HH$116,15,MATCH($B$3,'Data družstev'!$A$1:$HH$1,0)+4)),"")</f>
        <v/>
      </c>
      <c r="F21" s="53" t="str">
        <f>IFERROR(IF(INDEX('Data družstev'!$A$3:$HH$116,15,MATCH($B$3,'Data družstev'!$A$1:$HH$1,0)+5)="","",INDEX('Data družstev'!$A$3:$HH$116,15,MATCH($B$3,'Data družstev'!$A$1:$HH$1,0)+5)),"")</f>
        <v/>
      </c>
      <c r="G21" s="53" t="str">
        <f>IFERROR(IF(INDEX('Data družstev'!$A$3:$HH$116,15,MATCH($B$3,'Data družstev'!$A$1:$HH$1,0)+6)="","",INDEX('Data družstev'!$A$3:$HH$116,15,MATCH($B$3,'Data družstev'!$A$1:$HH$1,0)+6)),"")</f>
        <v/>
      </c>
      <c r="H21" s="53" t="str">
        <f>IFERROR(IF(INDEX('Data družstev'!$A$3:$HH$116,15,MATCH($B$3,'Data družstev'!$A$1:$HH$1,0)+7)="","",INDEX('Data družstev'!$A$3:$HH$116,15,MATCH($B$3,'Data družstev'!$A$1:$HH$1,0)+7)),"")</f>
        <v/>
      </c>
      <c r="I21" s="53" t="str">
        <f ca="1">IFERROR(IF(INDEX('Data družstev'!$A$3:$HH$116,15,MATCH($B$3,'Data družstev'!$A$1:$HH$1,0)+8)="","",INDEX('Data družstev'!$A$3:$HH$116,15,MATCH($B$3,'Data družstev'!$A$1:$HH$1,0)+8)),"")</f>
        <v>Nadcházející</v>
      </c>
    </row>
    <row r="22" spans="1:9" ht="27.95" customHeight="1" x14ac:dyDescent="0.2">
      <c r="A22" s="62">
        <f>IFERROR(IF(INDEX('Data družstev'!$A$3:$HH$116,16,MATCH($B$3,'Data družstev'!$A$1:$HH$1,0)+0)="","",INDEX('Data družstev'!$A$3:$HH$116,16,MATCH($B$3,'Data družstev'!$A$1:$HH$1,0)+0)),"")</f>
        <v>46438</v>
      </c>
      <c r="B22" s="53" t="str">
        <f>IFERROR(IF(INDEX('Data družstev'!$A$3:$HH$116,16,MATCH($B$3,'Data družstev'!$A$1:$HH$1,0)+1)="","",INDEX('Data družstev'!$A$3:$HH$116,16,MATCH($B$3,'Data družstev'!$A$1:$HH$1,0)+1)),"")</f>
        <v>So</v>
      </c>
      <c r="C22" s="53" t="str">
        <f>IFERROR(IF(INDEX('Data družstev'!$A$3:$HH$116,16,MATCH($B$3,'Data družstev'!$A$1:$HH$1,0)+2)="","",INDEX('Data družstev'!$A$3:$HH$116,16,MATCH($B$3,'Data družstev'!$A$1:$HH$1,0)+2)),"")</f>
        <v>žákovská liga</v>
      </c>
      <c r="D22" s="53" t="str">
        <f>IFERROR(IF(INDEX('Data družstev'!$A$3:$HH$116,16,MATCH($B$3,'Data družstev'!$A$1:$HH$1,0)+3)="","",INDEX('Data družstev'!$A$3:$HH$116,16,MATCH($B$3,'Data družstev'!$A$1:$HH$1,0)+3)),"")</f>
        <v>F3, S3</v>
      </c>
      <c r="E22" s="65" t="str">
        <f>IFERROR(IF(INDEX('Data družstev'!$A$3:$HH$116,16,MATCH($B$3,'Data družstev'!$A$1:$HH$1,0)+4)="","",INDEX('Data družstev'!$A$3:$HH$116,16,MATCH($B$3,'Data družstev'!$A$1:$HH$1,0)+4)),"")</f>
        <v/>
      </c>
      <c r="F22" s="53" t="str">
        <f>IFERROR(IF(INDEX('Data družstev'!$A$3:$HH$116,16,MATCH($B$3,'Data družstev'!$A$1:$HH$1,0)+5)="","",INDEX('Data družstev'!$A$3:$HH$116,16,MATCH($B$3,'Data družstev'!$A$1:$HH$1,0)+5)),"")</f>
        <v/>
      </c>
      <c r="G22" s="53" t="str">
        <f>IFERROR(IF(INDEX('Data družstev'!$A$3:$HH$116,16,MATCH($B$3,'Data družstev'!$A$1:$HH$1,0)+6)="","",INDEX('Data družstev'!$A$3:$HH$116,16,MATCH($B$3,'Data družstev'!$A$1:$HH$1,0)+6)),"")</f>
        <v/>
      </c>
      <c r="H22" s="53" t="str">
        <f>IFERROR(IF(INDEX('Data družstev'!$A$3:$HH$116,16,MATCH($B$3,'Data družstev'!$A$1:$HH$1,0)+7)="","",INDEX('Data družstev'!$A$3:$HH$116,16,MATCH($B$3,'Data družstev'!$A$1:$HH$1,0)+7)),"")</f>
        <v/>
      </c>
      <c r="I22" s="53" t="str">
        <f ca="1">IFERROR(IF(INDEX('Data družstev'!$A$3:$HH$116,16,MATCH($B$3,'Data družstev'!$A$1:$HH$1,0)+8)="","",INDEX('Data družstev'!$A$3:$HH$116,16,MATCH($B$3,'Data družstev'!$A$1:$HH$1,0)+8)),"")</f>
        <v>Nadcházející</v>
      </c>
    </row>
    <row r="23" spans="1:9" ht="27.95" customHeight="1" x14ac:dyDescent="0.2">
      <c r="A23" s="62">
        <f>IFERROR(IF(INDEX('Data družstev'!$A$3:$HH$116,17,MATCH($B$3,'Data družstev'!$A$1:$HH$1,0)+0)="","",INDEX('Data družstev'!$A$3:$HH$116,17,MATCH($B$3,'Data družstev'!$A$1:$HH$1,0)+0)),"")</f>
        <v>46439</v>
      </c>
      <c r="B23" s="53" t="str">
        <f>IFERROR(IF(INDEX('Data družstev'!$A$3:$HH$116,17,MATCH($B$3,'Data družstev'!$A$1:$HH$1,0)+1)="","",INDEX('Data družstev'!$A$3:$HH$116,17,MATCH($B$3,'Data družstev'!$A$1:$HH$1,0)+1)),"")</f>
        <v>Ne</v>
      </c>
      <c r="C23" s="53" t="str">
        <f>IFERROR(IF(INDEX('Data družstev'!$A$3:$HH$116,17,MATCH($B$3,'Data družstev'!$A$1:$HH$1,0)+2)="","",INDEX('Data družstev'!$A$3:$HH$116,17,MATCH($B$3,'Data družstev'!$A$1:$HH$1,0)+2)),"")</f>
        <v>žákovská liga</v>
      </c>
      <c r="D23" s="53" t="str">
        <f>IFERROR(IF(INDEX('Data družstev'!$A$3:$HH$116,17,MATCH($B$3,'Data družstev'!$A$1:$HH$1,0)+3)="","",INDEX('Data družstev'!$A$3:$HH$116,17,MATCH($B$3,'Data družstev'!$A$1:$HH$1,0)+3)),"")</f>
        <v>F3, S3</v>
      </c>
      <c r="E23" s="65" t="str">
        <f>IFERROR(IF(INDEX('Data družstev'!$A$3:$HH$116,17,MATCH($B$3,'Data družstev'!$A$1:$HH$1,0)+4)="","",INDEX('Data družstev'!$A$3:$HH$116,17,MATCH($B$3,'Data družstev'!$A$1:$HH$1,0)+4)),"")</f>
        <v/>
      </c>
      <c r="F23" s="53" t="str">
        <f>IFERROR(IF(INDEX('Data družstev'!$A$3:$HH$116,17,MATCH($B$3,'Data družstev'!$A$1:$HH$1,0)+5)="","",INDEX('Data družstev'!$A$3:$HH$116,17,MATCH($B$3,'Data družstev'!$A$1:$HH$1,0)+5)),"")</f>
        <v/>
      </c>
      <c r="G23" s="53" t="str">
        <f>IFERROR(IF(INDEX('Data družstev'!$A$3:$HH$116,17,MATCH($B$3,'Data družstev'!$A$1:$HH$1,0)+6)="","",INDEX('Data družstev'!$A$3:$HH$116,17,MATCH($B$3,'Data družstev'!$A$1:$HH$1,0)+6)),"")</f>
        <v/>
      </c>
      <c r="H23" s="53" t="str">
        <f>IFERROR(IF(INDEX('Data družstev'!$A$3:$HH$116,17,MATCH($B$3,'Data družstev'!$A$1:$HH$1,0)+7)="","",INDEX('Data družstev'!$A$3:$HH$116,17,MATCH($B$3,'Data družstev'!$A$1:$HH$1,0)+7)),"")</f>
        <v/>
      </c>
      <c r="I23" s="53" t="str">
        <f ca="1">IFERROR(IF(INDEX('Data družstev'!$A$3:$HH$116,17,MATCH($B$3,'Data družstev'!$A$1:$HH$1,0)+8)="","",INDEX('Data družstev'!$A$3:$HH$116,17,MATCH($B$3,'Data družstev'!$A$1:$HH$1,0)+8)),"")</f>
        <v>Nadcházející</v>
      </c>
    </row>
    <row r="24" spans="1:9" ht="27.95" customHeight="1" x14ac:dyDescent="0.2">
      <c r="A24" s="62">
        <f>IFERROR(IF(INDEX('Data družstev'!$A$3:$HH$116,18,MATCH($B$3,'Data družstev'!$A$1:$HH$1,0)+0)="","",INDEX('Data družstev'!$A$3:$HH$116,18,MATCH($B$3,'Data družstev'!$A$1:$HH$1,0)+0)),"")</f>
        <v>46459</v>
      </c>
      <c r="B24" s="53" t="str">
        <f>IFERROR(IF(INDEX('Data družstev'!$A$3:$HH$116,18,MATCH($B$3,'Data družstev'!$A$1:$HH$1,0)+1)="","",INDEX('Data družstev'!$A$3:$HH$116,18,MATCH($B$3,'Data družstev'!$A$1:$HH$1,0)+1)),"")</f>
        <v>So</v>
      </c>
      <c r="C24" s="53" t="str">
        <f>IFERROR(IF(INDEX('Data družstev'!$A$3:$HH$116,18,MATCH($B$3,'Data družstev'!$A$1:$HH$1,0)+2)="","",INDEX('Data družstev'!$A$3:$HH$116,18,MATCH($B$3,'Data družstev'!$A$1:$HH$1,0)+2)),"")</f>
        <v>žákovská liga</v>
      </c>
      <c r="D24" s="53" t="str">
        <f>IFERROR(IF(INDEX('Data družstev'!$A$3:$HH$116,18,MATCH($B$3,'Data družstev'!$A$1:$HH$1,0)+3)="","",INDEX('Data družstev'!$A$3:$HH$116,18,MATCH($B$3,'Data družstev'!$A$1:$HH$1,0)+3)),"")</f>
        <v>F1´, S1´</v>
      </c>
      <c r="E24" s="65" t="str">
        <f>IFERROR(IF(INDEX('Data družstev'!$A$3:$HH$116,18,MATCH($B$3,'Data družstev'!$A$1:$HH$1,0)+4)="","",INDEX('Data družstev'!$A$3:$HH$116,18,MATCH($B$3,'Data družstev'!$A$1:$HH$1,0)+4)),"")</f>
        <v/>
      </c>
      <c r="F24" s="53" t="str">
        <f>IFERROR(IF(INDEX('Data družstev'!$A$3:$HH$116,18,MATCH($B$3,'Data družstev'!$A$1:$HH$1,0)+5)="","",INDEX('Data družstev'!$A$3:$HH$116,18,MATCH($B$3,'Data družstev'!$A$1:$HH$1,0)+5)),"")</f>
        <v/>
      </c>
      <c r="G24" s="53" t="str">
        <f>IFERROR(IF(INDEX('Data družstev'!$A$3:$HH$116,18,MATCH($B$3,'Data družstev'!$A$1:$HH$1,0)+6)="","",INDEX('Data družstev'!$A$3:$HH$116,18,MATCH($B$3,'Data družstev'!$A$1:$HH$1,0)+6)),"")</f>
        <v/>
      </c>
      <c r="H24" s="53" t="str">
        <f>IFERROR(IF(INDEX('Data družstev'!$A$3:$HH$116,18,MATCH($B$3,'Data družstev'!$A$1:$HH$1,0)+7)="","",INDEX('Data družstev'!$A$3:$HH$116,18,MATCH($B$3,'Data družstev'!$A$1:$HH$1,0)+7)),"")</f>
        <v/>
      </c>
      <c r="I24" s="53" t="str">
        <f ca="1">IFERROR(IF(INDEX('Data družstev'!$A$3:$HH$116,18,MATCH($B$3,'Data družstev'!$A$1:$HH$1,0)+8)="","",INDEX('Data družstev'!$A$3:$HH$116,18,MATCH($B$3,'Data družstev'!$A$1:$HH$1,0)+8)),"")</f>
        <v>Nadcházející</v>
      </c>
    </row>
    <row r="25" spans="1:9" ht="27.95" customHeight="1" x14ac:dyDescent="0.2">
      <c r="A25" s="62">
        <f>IFERROR(IF(INDEX('Data družstev'!$A$3:$HH$116,19,MATCH($B$3,'Data družstev'!$A$1:$HH$1,0)+0)="","",INDEX('Data družstev'!$A$3:$HH$116,19,MATCH($B$3,'Data družstev'!$A$1:$HH$1,0)+0)),"")</f>
        <v>46460</v>
      </c>
      <c r="B25" s="53" t="str">
        <f>IFERROR(IF(INDEX('Data družstev'!$A$3:$HH$116,19,MATCH($B$3,'Data družstev'!$A$1:$HH$1,0)+1)="","",INDEX('Data družstev'!$A$3:$HH$116,19,MATCH($B$3,'Data družstev'!$A$1:$HH$1,0)+1)),"")</f>
        <v>Ne</v>
      </c>
      <c r="C25" s="53" t="str">
        <f>IFERROR(IF(INDEX('Data družstev'!$A$3:$HH$116,19,MATCH($B$3,'Data družstev'!$A$1:$HH$1,0)+2)="","",INDEX('Data družstev'!$A$3:$HH$116,19,MATCH($B$3,'Data družstev'!$A$1:$HH$1,0)+2)),"")</f>
        <v>žákovská liga</v>
      </c>
      <c r="D25" s="53" t="str">
        <f>IFERROR(IF(INDEX('Data družstev'!$A$3:$HH$116,19,MATCH($B$3,'Data družstev'!$A$1:$HH$1,0)+3)="","",INDEX('Data družstev'!$A$3:$HH$116,19,MATCH($B$3,'Data družstev'!$A$1:$HH$1,0)+3)),"")</f>
        <v>F1´, S1</v>
      </c>
      <c r="E25" s="65" t="str">
        <f>IFERROR(IF(INDEX('Data družstev'!$A$3:$HH$116,19,MATCH($B$3,'Data družstev'!$A$1:$HH$1,0)+4)="","",INDEX('Data družstev'!$A$3:$HH$116,19,MATCH($B$3,'Data družstev'!$A$1:$HH$1,0)+4)),"")</f>
        <v/>
      </c>
      <c r="F25" s="53" t="str">
        <f>IFERROR(IF(INDEX('Data družstev'!$A$3:$HH$116,19,MATCH($B$3,'Data družstev'!$A$1:$HH$1,0)+5)="","",INDEX('Data družstev'!$A$3:$HH$116,19,MATCH($B$3,'Data družstev'!$A$1:$HH$1,0)+5)),"")</f>
        <v/>
      </c>
      <c r="G25" s="53" t="str">
        <f>IFERROR(IF(INDEX('Data družstev'!$A$3:$HH$116,19,MATCH($B$3,'Data družstev'!$A$1:$HH$1,0)+6)="","",INDEX('Data družstev'!$A$3:$HH$116,19,MATCH($B$3,'Data družstev'!$A$1:$HH$1,0)+6)),"")</f>
        <v/>
      </c>
      <c r="H25" s="53" t="str">
        <f>IFERROR(IF(INDEX('Data družstev'!$A$3:$HH$116,19,MATCH($B$3,'Data družstev'!$A$1:$HH$1,0)+7)="","",INDEX('Data družstev'!$A$3:$HH$116,19,MATCH($B$3,'Data družstev'!$A$1:$HH$1,0)+7)),"")</f>
        <v/>
      </c>
      <c r="I25" s="53" t="str">
        <f ca="1">IFERROR(IF(INDEX('Data družstev'!$A$3:$HH$116,19,MATCH($B$3,'Data družstev'!$A$1:$HH$1,0)+8)="","",INDEX('Data družstev'!$A$3:$HH$116,19,MATCH($B$3,'Data družstev'!$A$1:$HH$1,0)+8)),"")</f>
        <v>Nadcházející</v>
      </c>
    </row>
    <row r="26" spans="1:9" ht="27.95" customHeight="1" x14ac:dyDescent="0.2">
      <c r="A26" s="62">
        <f>IFERROR(IF(INDEX('Data družstev'!$A$3:$HH$116,20,MATCH($B$3,'Data družstev'!$A$1:$HH$1,0)+0)="","",INDEX('Data družstev'!$A$3:$HH$116,20,MATCH($B$3,'Data družstev'!$A$1:$HH$1,0)+0)),"")</f>
        <v>46463</v>
      </c>
      <c r="B26" s="53" t="str">
        <f>IFERROR(IF(INDEX('Data družstev'!$A$3:$HH$116,20,MATCH($B$3,'Data družstev'!$A$1:$HH$1,0)+1)="","",INDEX('Data družstev'!$A$3:$HH$116,20,MATCH($B$3,'Data družstev'!$A$1:$HH$1,0)+1)),"")</f>
        <v>St</v>
      </c>
      <c r="C26" s="53" t="str">
        <f>IFERROR(IF(INDEX('Data družstev'!$A$3:$HH$116,20,MATCH($B$3,'Data družstev'!$A$1:$HH$1,0)+2)="","",INDEX('Data družstev'!$A$3:$HH$116,20,MATCH($B$3,'Data družstev'!$A$1:$HH$1,0)+2)),"")</f>
        <v>žákovská liga</v>
      </c>
      <c r="D26" s="53" t="str">
        <f>IFERROR(IF(INDEX('Data družstev'!$A$3:$HH$116,20,MATCH($B$3,'Data družstev'!$A$1:$HH$1,0)+3)="","",INDEX('Data družstev'!$A$3:$HH$116,20,MATCH($B$3,'Data družstev'!$A$1:$HH$1,0)+3)),"")</f>
        <v>FD´, SD´</v>
      </c>
      <c r="E26" s="65" t="str">
        <f>IFERROR(IF(INDEX('Data družstev'!$A$3:$HH$116,20,MATCH($B$3,'Data družstev'!$A$1:$HH$1,0)+4)="","",INDEX('Data družstev'!$A$3:$HH$116,20,MATCH($B$3,'Data družstev'!$A$1:$HH$1,0)+4)),"")</f>
        <v/>
      </c>
      <c r="F26" s="53" t="str">
        <f>IFERROR(IF(INDEX('Data družstev'!$A$3:$HH$116,20,MATCH($B$3,'Data družstev'!$A$1:$HH$1,0)+5)="","",INDEX('Data družstev'!$A$3:$HH$116,20,MATCH($B$3,'Data družstev'!$A$1:$HH$1,0)+5)),"")</f>
        <v/>
      </c>
      <c r="G26" s="53" t="str">
        <f>IFERROR(IF(INDEX('Data družstev'!$A$3:$HH$116,20,MATCH($B$3,'Data družstev'!$A$1:$HH$1,0)+6)="","",INDEX('Data družstev'!$A$3:$HH$116,20,MATCH($B$3,'Data družstev'!$A$1:$HH$1,0)+6)),"")</f>
        <v/>
      </c>
      <c r="H26" s="53" t="str">
        <f>IFERROR(IF(INDEX('Data družstev'!$A$3:$HH$116,20,MATCH($B$3,'Data družstev'!$A$1:$HH$1,0)+7)="","",INDEX('Data družstev'!$A$3:$HH$116,20,MATCH($B$3,'Data družstev'!$A$1:$HH$1,0)+7)),"")</f>
        <v/>
      </c>
      <c r="I26" s="53" t="str">
        <f ca="1">IFERROR(IF(INDEX('Data družstev'!$A$3:$HH$116,20,MATCH($B$3,'Data družstev'!$A$1:$HH$1,0)+8)="","",INDEX('Data družstev'!$A$3:$HH$116,20,MATCH($B$3,'Data družstev'!$A$1:$HH$1,0)+8)),"")</f>
        <v>Nadcházející</v>
      </c>
    </row>
    <row r="27" spans="1:9" ht="27.95" customHeight="1" x14ac:dyDescent="0.2">
      <c r="A27" s="62">
        <f>IFERROR(IF(INDEX('Data družstev'!$A$3:$HH$116,21,MATCH($B$3,'Data družstev'!$A$1:$HH$1,0)+0)="","",INDEX('Data družstev'!$A$3:$HH$116,21,MATCH($B$3,'Data družstev'!$A$1:$HH$1,0)+0)),"")</f>
        <v>46480</v>
      </c>
      <c r="B27" s="53" t="str">
        <f>IFERROR(IF(INDEX('Data družstev'!$A$3:$HH$116,21,MATCH($B$3,'Data družstev'!$A$1:$HH$1,0)+1)="","",INDEX('Data družstev'!$A$3:$HH$116,21,MATCH($B$3,'Data družstev'!$A$1:$HH$1,0)+1)),"")</f>
        <v>So</v>
      </c>
      <c r="C27" s="53" t="str">
        <f>IFERROR(IF(INDEX('Data družstev'!$A$3:$HH$116,21,MATCH($B$3,'Data družstev'!$A$1:$HH$1,0)+2)="","",INDEX('Data družstev'!$A$3:$HH$116,21,MATCH($B$3,'Data družstev'!$A$1:$HH$1,0)+2)),"")</f>
        <v>žákovská liga</v>
      </c>
      <c r="D27" s="53" t="str">
        <f>IFERROR(IF(INDEX('Data družstev'!$A$3:$HH$116,21,MATCH($B$3,'Data družstev'!$A$1:$HH$1,0)+3)="","",INDEX('Data družstev'!$A$3:$HH$116,21,MATCH($B$3,'Data družstev'!$A$1:$HH$1,0)+3)),"")</f>
        <v>F2´, S2´</v>
      </c>
      <c r="E27" s="65" t="str">
        <f>IFERROR(IF(INDEX('Data družstev'!$A$3:$HH$116,21,MATCH($B$3,'Data družstev'!$A$1:$HH$1,0)+4)="","",INDEX('Data družstev'!$A$3:$HH$116,21,MATCH($B$3,'Data družstev'!$A$1:$HH$1,0)+4)),"")</f>
        <v/>
      </c>
      <c r="F27" s="53" t="str">
        <f>IFERROR(IF(INDEX('Data družstev'!$A$3:$HH$116,21,MATCH($B$3,'Data družstev'!$A$1:$HH$1,0)+5)="","",INDEX('Data družstev'!$A$3:$HH$116,21,MATCH($B$3,'Data družstev'!$A$1:$HH$1,0)+5)),"")</f>
        <v/>
      </c>
      <c r="G27" s="53" t="str">
        <f>IFERROR(IF(INDEX('Data družstev'!$A$3:$HH$116,21,MATCH($B$3,'Data družstev'!$A$1:$HH$1,0)+6)="","",INDEX('Data družstev'!$A$3:$HH$116,21,MATCH($B$3,'Data družstev'!$A$1:$HH$1,0)+6)),"")</f>
        <v/>
      </c>
      <c r="H27" s="53" t="str">
        <f>IFERROR(IF(INDEX('Data družstev'!$A$3:$HH$116,21,MATCH($B$3,'Data družstev'!$A$1:$HH$1,0)+7)="","",INDEX('Data družstev'!$A$3:$HH$116,21,MATCH($B$3,'Data družstev'!$A$1:$HH$1,0)+7)),"")</f>
        <v/>
      </c>
      <c r="I27" s="53" t="str">
        <f ca="1">IFERROR(IF(INDEX('Data družstev'!$A$3:$HH$116,21,MATCH($B$3,'Data družstev'!$A$1:$HH$1,0)+8)="","",INDEX('Data družstev'!$A$3:$HH$116,21,MATCH($B$3,'Data družstev'!$A$1:$HH$1,0)+8)),"")</f>
        <v>Nadcházející</v>
      </c>
    </row>
    <row r="28" spans="1:9" ht="27.95" customHeight="1" x14ac:dyDescent="0.2">
      <c r="A28" s="62">
        <f>IFERROR(IF(INDEX('Data družstev'!$A$3:$HH$116,22,MATCH($B$3,'Data družstev'!$A$1:$HH$1,0)+0)="","",INDEX('Data družstev'!$A$3:$HH$116,22,MATCH($B$3,'Data družstev'!$A$1:$HH$1,0)+0)),"")</f>
        <v>46481</v>
      </c>
      <c r="B28" s="53" t="str">
        <f>IFERROR(IF(INDEX('Data družstev'!$A$3:$HH$116,22,MATCH($B$3,'Data družstev'!$A$1:$HH$1,0)+1)="","",INDEX('Data družstev'!$A$3:$HH$116,22,MATCH($B$3,'Data družstev'!$A$1:$HH$1,0)+1)),"")</f>
        <v>Ne</v>
      </c>
      <c r="C28" s="53" t="str">
        <f>IFERROR(IF(INDEX('Data družstev'!$A$3:$HH$116,22,MATCH($B$3,'Data družstev'!$A$1:$HH$1,0)+2)="","",INDEX('Data družstev'!$A$3:$HH$116,22,MATCH($B$3,'Data družstev'!$A$1:$HH$1,0)+2)),"")</f>
        <v>žákovská liga</v>
      </c>
      <c r="D28" s="53" t="str">
        <f>IFERROR(IF(INDEX('Data družstev'!$A$3:$HH$116,22,MATCH($B$3,'Data družstev'!$A$1:$HH$1,0)+3)="","",INDEX('Data družstev'!$A$3:$HH$116,22,MATCH($B$3,'Data družstev'!$A$1:$HH$1,0)+3)),"")</f>
        <v>F2´, S2´</v>
      </c>
      <c r="E28" s="65" t="str">
        <f>IFERROR(IF(INDEX('Data družstev'!$A$3:$HH$116,22,MATCH($B$3,'Data družstev'!$A$1:$HH$1,0)+4)="","",INDEX('Data družstev'!$A$3:$HH$116,22,MATCH($B$3,'Data družstev'!$A$1:$HH$1,0)+4)),"")</f>
        <v/>
      </c>
      <c r="F28" s="53" t="str">
        <f>IFERROR(IF(INDEX('Data družstev'!$A$3:$HH$116,22,MATCH($B$3,'Data družstev'!$A$1:$HH$1,0)+5)="","",INDEX('Data družstev'!$A$3:$HH$116,22,MATCH($B$3,'Data družstev'!$A$1:$HH$1,0)+5)),"")</f>
        <v/>
      </c>
      <c r="G28" s="53" t="str">
        <f>IFERROR(IF(INDEX('Data družstev'!$A$3:$HH$116,22,MATCH($B$3,'Data družstev'!$A$1:$HH$1,0)+6)="","",INDEX('Data družstev'!$A$3:$HH$116,22,MATCH($B$3,'Data družstev'!$A$1:$HH$1,0)+6)),"")</f>
        <v/>
      </c>
      <c r="H28" s="53" t="str">
        <f>IFERROR(IF(INDEX('Data družstev'!$A$3:$HH$116,22,MATCH($B$3,'Data družstev'!$A$1:$HH$1,0)+7)="","",INDEX('Data družstev'!$A$3:$HH$116,22,MATCH($B$3,'Data družstev'!$A$1:$HH$1,0)+7)),"")</f>
        <v/>
      </c>
      <c r="I28" s="53" t="str">
        <f ca="1">IFERROR(IF(INDEX('Data družstev'!$A$3:$HH$116,22,MATCH($B$3,'Data družstev'!$A$1:$HH$1,0)+8)="","",INDEX('Data družstev'!$A$3:$HH$116,22,MATCH($B$3,'Data družstev'!$A$1:$HH$1,0)+8)),"")</f>
        <v>Nadcházející</v>
      </c>
    </row>
    <row r="29" spans="1:9" ht="27.95" customHeight="1" x14ac:dyDescent="0.2">
      <c r="A29" s="62">
        <f>IFERROR(IF(INDEX('Data družstev'!$A$3:$HH$116,23,MATCH($B$3,'Data družstev'!$A$1:$HH$1,0)+0)="","",INDEX('Data družstev'!$A$3:$HH$116,23,MATCH($B$3,'Data družstev'!$A$1:$HH$1,0)+0)),"")</f>
        <v>46494</v>
      </c>
      <c r="B29" s="53" t="str">
        <f>IFERROR(IF(INDEX('Data družstev'!$A$3:$HH$116,23,MATCH($B$3,'Data družstev'!$A$1:$HH$1,0)+1)="","",INDEX('Data družstev'!$A$3:$HH$116,23,MATCH($B$3,'Data družstev'!$A$1:$HH$1,0)+1)),"")</f>
        <v>So</v>
      </c>
      <c r="C29" s="53" t="str">
        <f>IFERROR(IF(INDEX('Data družstev'!$A$3:$HH$116,23,MATCH($B$3,'Data družstev'!$A$1:$HH$1,0)+2)="","",INDEX('Data družstev'!$A$3:$HH$116,23,MATCH($B$3,'Data družstev'!$A$1:$HH$1,0)+2)),"")</f>
        <v>žákovská liga</v>
      </c>
      <c r="D29" s="53" t="str">
        <f>IFERROR(IF(INDEX('Data družstev'!$A$3:$HH$116,23,MATCH($B$3,'Data družstev'!$A$1:$HH$1,0)+3)="","",INDEX('Data družstev'!$A$3:$HH$116,23,MATCH($B$3,'Data družstev'!$A$1:$HH$1,0)+3)),"")</f>
        <v>F3´, S3´</v>
      </c>
      <c r="E29" s="65" t="str">
        <f>IFERROR(IF(INDEX('Data družstev'!$A$3:$HH$116,23,MATCH($B$3,'Data družstev'!$A$1:$HH$1,0)+4)="","",INDEX('Data družstev'!$A$3:$HH$116,23,MATCH($B$3,'Data družstev'!$A$1:$HH$1,0)+4)),"")</f>
        <v/>
      </c>
      <c r="F29" s="53" t="str">
        <f>IFERROR(IF(INDEX('Data družstev'!$A$3:$HH$116,23,MATCH($B$3,'Data družstev'!$A$1:$HH$1,0)+5)="","",INDEX('Data družstev'!$A$3:$HH$116,23,MATCH($B$3,'Data družstev'!$A$1:$HH$1,0)+5)),"")</f>
        <v/>
      </c>
      <c r="G29" s="53" t="str">
        <f>IFERROR(IF(INDEX('Data družstev'!$A$3:$HH$116,23,MATCH($B$3,'Data družstev'!$A$1:$HH$1,0)+6)="","",INDEX('Data družstev'!$A$3:$HH$116,23,MATCH($B$3,'Data družstev'!$A$1:$HH$1,0)+6)),"")</f>
        <v/>
      </c>
      <c r="H29" s="53" t="str">
        <f>IFERROR(IF(INDEX('Data družstev'!$A$3:$HH$116,23,MATCH($B$3,'Data družstev'!$A$1:$HH$1,0)+7)="","",INDEX('Data družstev'!$A$3:$HH$116,23,MATCH($B$3,'Data družstev'!$A$1:$HH$1,0)+7)),"")</f>
        <v/>
      </c>
      <c r="I29" s="53" t="str">
        <f ca="1">IFERROR(IF(INDEX('Data družstev'!$A$3:$HH$116,23,MATCH($B$3,'Data družstev'!$A$1:$HH$1,0)+8)="","",INDEX('Data družstev'!$A$3:$HH$116,23,MATCH($B$3,'Data družstev'!$A$1:$HH$1,0)+8)),"")</f>
        <v>Nadcházející</v>
      </c>
    </row>
    <row r="30" spans="1:9" ht="27.95" customHeight="1" x14ac:dyDescent="0.2">
      <c r="A30" s="62">
        <f>IFERROR(IF(INDEX('Data družstev'!$A$3:$HH$116,24,MATCH($B$3,'Data družstev'!$A$1:$HH$1,0)+0)="","",INDEX('Data družstev'!$A$3:$HH$116,24,MATCH($B$3,'Data družstev'!$A$1:$HH$1,0)+0)),"")</f>
        <v>46495</v>
      </c>
      <c r="B30" s="53" t="str">
        <f>IFERROR(IF(INDEX('Data družstev'!$A$3:$HH$116,24,MATCH($B$3,'Data družstev'!$A$1:$HH$1,0)+1)="","",INDEX('Data družstev'!$A$3:$HH$116,24,MATCH($B$3,'Data družstev'!$A$1:$HH$1,0)+1)),"")</f>
        <v>Ne</v>
      </c>
      <c r="C30" s="53" t="str">
        <f>IFERROR(IF(INDEX('Data družstev'!$A$3:$HH$116,24,MATCH($B$3,'Data družstev'!$A$1:$HH$1,0)+2)="","",INDEX('Data družstev'!$A$3:$HH$116,24,MATCH($B$3,'Data družstev'!$A$1:$HH$1,0)+2)),"")</f>
        <v>žákovská liga</v>
      </c>
      <c r="D30" s="53" t="str">
        <f>IFERROR(IF(INDEX('Data družstev'!$A$3:$HH$116,24,MATCH($B$3,'Data družstev'!$A$1:$HH$1,0)+3)="","",INDEX('Data družstev'!$A$3:$HH$116,24,MATCH($B$3,'Data družstev'!$A$1:$HH$1,0)+3)),"")</f>
        <v>F3´, S3´</v>
      </c>
      <c r="E30" s="65" t="str">
        <f>IFERROR(IF(INDEX('Data družstev'!$A$3:$HH$116,24,MATCH($B$3,'Data družstev'!$A$1:$HH$1,0)+4)="","",INDEX('Data družstev'!$A$3:$HH$116,24,MATCH($B$3,'Data družstev'!$A$1:$HH$1,0)+4)),"")</f>
        <v/>
      </c>
      <c r="F30" s="53" t="str">
        <f>IFERROR(IF(INDEX('Data družstev'!$A$3:$HH$116,24,MATCH($B$3,'Data družstev'!$A$1:$HH$1,0)+5)="","",INDEX('Data družstev'!$A$3:$HH$116,24,MATCH($B$3,'Data družstev'!$A$1:$HH$1,0)+5)),"")</f>
        <v/>
      </c>
      <c r="G30" s="53" t="str">
        <f>IFERROR(IF(INDEX('Data družstev'!$A$3:$HH$116,24,MATCH($B$3,'Data družstev'!$A$1:$HH$1,0)+6)="","",INDEX('Data družstev'!$A$3:$HH$116,24,MATCH($B$3,'Data družstev'!$A$1:$HH$1,0)+6)),"")</f>
        <v/>
      </c>
      <c r="H30" s="53" t="str">
        <f>IFERROR(IF(INDEX('Data družstev'!$A$3:$HH$116,24,MATCH($B$3,'Data družstev'!$A$1:$HH$1,0)+7)="","",INDEX('Data družstev'!$A$3:$HH$116,24,MATCH($B$3,'Data družstev'!$A$1:$HH$1,0)+7)),"")</f>
        <v/>
      </c>
      <c r="I30" s="53" t="str">
        <f ca="1">IFERROR(IF(INDEX('Data družstev'!$A$3:$HH$116,24,MATCH($B$3,'Data družstev'!$A$1:$HH$1,0)+8)="","",INDEX('Data družstev'!$A$3:$HH$116,24,MATCH($B$3,'Data družstev'!$A$1:$HH$1,0)+8)),"")</f>
        <v>Nadcházející</v>
      </c>
    </row>
    <row r="31" spans="1:9" ht="27.95" customHeight="1" x14ac:dyDescent="0.2">
      <c r="A31" s="62" t="str">
        <f>IFERROR(IF(INDEX('Data družstev'!$A$3:$HH$116,25,MATCH($B$3,'Data družstev'!$A$1:$HH$1,0)+0)="","",INDEX('Data družstev'!$A$3:$HH$116,25,MATCH($B$3,'Data družstev'!$A$1:$HH$1,0)+0)),"")</f>
        <v/>
      </c>
      <c r="B31" s="53" t="str">
        <f>IFERROR(IF(INDEX('Data družstev'!$A$3:$HH$116,25,MATCH($B$3,'Data družstev'!$A$1:$HH$1,0)+1)="","",INDEX('Data družstev'!$A$3:$HH$116,25,MATCH($B$3,'Data družstev'!$A$1:$HH$1,0)+1)),"")</f>
        <v/>
      </c>
      <c r="C31" s="53" t="str">
        <f>IFERROR(IF(INDEX('Data družstev'!$A$3:$HH$116,25,MATCH($B$3,'Data družstev'!$A$1:$HH$1,0)+2)="","",INDEX('Data družstev'!$A$3:$HH$116,25,MATCH($B$3,'Data družstev'!$A$1:$HH$1,0)+2)),"")</f>
        <v/>
      </c>
      <c r="D31" s="53" t="str">
        <f>IFERROR(IF(INDEX('Data družstev'!$A$3:$HH$116,25,MATCH($B$3,'Data družstev'!$A$1:$HH$1,0)+3)="","",INDEX('Data družstev'!$A$3:$HH$116,25,MATCH($B$3,'Data družstev'!$A$1:$HH$1,0)+3)),"")</f>
        <v/>
      </c>
      <c r="E31" s="65" t="str">
        <f>IFERROR(IF(INDEX('Data družstev'!$A$3:$HH$116,25,MATCH($B$3,'Data družstev'!$A$1:$HH$1,0)+4)="","",INDEX('Data družstev'!$A$3:$HH$116,25,MATCH($B$3,'Data družstev'!$A$1:$HH$1,0)+4)),"")</f>
        <v/>
      </c>
      <c r="F31" s="53" t="str">
        <f>IFERROR(IF(INDEX('Data družstev'!$A$3:$HH$116,25,MATCH($B$3,'Data družstev'!$A$1:$HH$1,0)+5)="","",INDEX('Data družstev'!$A$3:$HH$116,25,MATCH($B$3,'Data družstev'!$A$1:$HH$1,0)+5)),"")</f>
        <v/>
      </c>
      <c r="G31" s="53" t="str">
        <f>IFERROR(IF(INDEX('Data družstev'!$A$3:$HH$116,25,MATCH($B$3,'Data družstev'!$A$1:$HH$1,0)+6)="","",INDEX('Data družstev'!$A$3:$HH$116,25,MATCH($B$3,'Data družstev'!$A$1:$HH$1,0)+6)),"")</f>
        <v/>
      </c>
      <c r="H31" s="53" t="str">
        <f>IFERROR(IF(INDEX('Data družstev'!$A$3:$HH$116,25,MATCH($B$3,'Data družstev'!$A$1:$HH$1,0)+7)="","",INDEX('Data družstev'!$A$3:$HH$116,25,MATCH($B$3,'Data družstev'!$A$1:$HH$1,0)+7)),"")</f>
        <v/>
      </c>
      <c r="I31" s="53" t="str">
        <f>IFERROR(IF(INDEX('Data družstev'!$A$3:$HH$116,25,MATCH($B$3,'Data družstev'!$A$1:$HH$1,0)+8)="","",INDEX('Data družstev'!$A$3:$HH$116,25,MATCH($B$3,'Data družstev'!$A$1:$HH$1,0)+8)),"")</f>
        <v/>
      </c>
    </row>
    <row r="32" spans="1:9" ht="27.95" customHeight="1" x14ac:dyDescent="0.2">
      <c r="A32" s="62" t="str">
        <f>IFERROR(IF(INDEX('Data družstev'!$A$3:$HH$116,26,MATCH($B$3,'Data družstev'!$A$1:$HH$1,0)+0)="","",INDEX('Data družstev'!$A$3:$HH$116,26,MATCH($B$3,'Data družstev'!$A$1:$HH$1,0)+0)),"")</f>
        <v/>
      </c>
      <c r="B32" s="53" t="str">
        <f>IFERROR(IF(INDEX('Data družstev'!$A$3:$HH$116,26,MATCH($B$3,'Data družstev'!$A$1:$HH$1,0)+1)="","",INDEX('Data družstev'!$A$3:$HH$116,26,MATCH($B$3,'Data družstev'!$A$1:$HH$1,0)+1)),"")</f>
        <v/>
      </c>
      <c r="C32" s="53" t="str">
        <f>IFERROR(IF(INDEX('Data družstev'!$A$3:$HH$116,26,MATCH($B$3,'Data družstev'!$A$1:$HH$1,0)+2)="","",INDEX('Data družstev'!$A$3:$HH$116,26,MATCH($B$3,'Data družstev'!$A$1:$HH$1,0)+2)),"")</f>
        <v/>
      </c>
      <c r="D32" s="53" t="str">
        <f>IFERROR(IF(INDEX('Data družstev'!$A$3:$HH$116,26,MATCH($B$3,'Data družstev'!$A$1:$HH$1,0)+3)="","",INDEX('Data družstev'!$A$3:$HH$116,26,MATCH($B$3,'Data družstev'!$A$1:$HH$1,0)+3)),"")</f>
        <v/>
      </c>
      <c r="E32" s="65" t="str">
        <f>IFERROR(IF(INDEX('Data družstev'!$A$3:$HH$116,26,MATCH($B$3,'Data družstev'!$A$1:$HH$1,0)+4)="","",INDEX('Data družstev'!$A$3:$HH$116,26,MATCH($B$3,'Data družstev'!$A$1:$HH$1,0)+4)),"")</f>
        <v/>
      </c>
      <c r="F32" s="53" t="str">
        <f>IFERROR(IF(INDEX('Data družstev'!$A$3:$HH$116,26,MATCH($B$3,'Data družstev'!$A$1:$HH$1,0)+5)="","",INDEX('Data družstev'!$A$3:$HH$116,26,MATCH($B$3,'Data družstev'!$A$1:$HH$1,0)+5)),"")</f>
        <v/>
      </c>
      <c r="G32" s="53" t="str">
        <f>IFERROR(IF(INDEX('Data družstev'!$A$3:$HH$116,26,MATCH($B$3,'Data družstev'!$A$1:$HH$1,0)+6)="","",INDEX('Data družstev'!$A$3:$HH$116,26,MATCH($B$3,'Data družstev'!$A$1:$HH$1,0)+6)),"")</f>
        <v/>
      </c>
      <c r="H32" s="53" t="str">
        <f>IFERROR(IF(INDEX('Data družstev'!$A$3:$HH$116,26,MATCH($B$3,'Data družstev'!$A$1:$HH$1,0)+7)="","",INDEX('Data družstev'!$A$3:$HH$116,26,MATCH($B$3,'Data družstev'!$A$1:$HH$1,0)+7)),"")</f>
        <v/>
      </c>
      <c r="I32" s="53" t="str">
        <f>IFERROR(IF(INDEX('Data družstev'!$A$3:$HH$116,26,MATCH($B$3,'Data družstev'!$A$1:$HH$1,0)+8)="","",INDEX('Data družstev'!$A$3:$HH$116,26,MATCH($B$3,'Data družstev'!$A$1:$HH$1,0)+8)),"")</f>
        <v/>
      </c>
    </row>
    <row r="33" spans="1:9" ht="27.95" customHeight="1" x14ac:dyDescent="0.2">
      <c r="A33" s="62" t="str">
        <f>IFERROR(IF(INDEX('Data družstev'!$A$3:$HH$116,27,MATCH($B$3,'Data družstev'!$A$1:$HH$1,0)+0)="","",INDEX('Data družstev'!$A$3:$HH$116,27,MATCH($B$3,'Data družstev'!$A$1:$HH$1,0)+0)),"")</f>
        <v/>
      </c>
      <c r="B33" s="53" t="str">
        <f>IFERROR(IF(INDEX('Data družstev'!$A$3:$HH$116,27,MATCH($B$3,'Data družstev'!$A$1:$HH$1,0)+1)="","",INDEX('Data družstev'!$A$3:$HH$116,27,MATCH($B$3,'Data družstev'!$A$1:$HH$1,0)+1)),"")</f>
        <v/>
      </c>
      <c r="C33" s="53" t="str">
        <f>IFERROR(IF(INDEX('Data družstev'!$A$3:$HH$116,27,MATCH($B$3,'Data družstev'!$A$1:$HH$1,0)+2)="","",INDEX('Data družstev'!$A$3:$HH$116,27,MATCH($B$3,'Data družstev'!$A$1:$HH$1,0)+2)),"")</f>
        <v/>
      </c>
      <c r="D33" s="53" t="str">
        <f>IFERROR(IF(INDEX('Data družstev'!$A$3:$HH$116,27,MATCH($B$3,'Data družstev'!$A$1:$HH$1,0)+3)="","",INDEX('Data družstev'!$A$3:$HH$116,27,MATCH($B$3,'Data družstev'!$A$1:$HH$1,0)+3)),"")</f>
        <v/>
      </c>
      <c r="E33" s="65" t="str">
        <f>IFERROR(IF(INDEX('Data družstev'!$A$3:$HH$116,27,MATCH($B$3,'Data družstev'!$A$1:$HH$1,0)+4)="","",INDEX('Data družstev'!$A$3:$HH$116,27,MATCH($B$3,'Data družstev'!$A$1:$HH$1,0)+4)),"")</f>
        <v/>
      </c>
      <c r="F33" s="53" t="str">
        <f>IFERROR(IF(INDEX('Data družstev'!$A$3:$HH$116,27,MATCH($B$3,'Data družstev'!$A$1:$HH$1,0)+5)="","",INDEX('Data družstev'!$A$3:$HH$116,27,MATCH($B$3,'Data družstev'!$A$1:$HH$1,0)+5)),"")</f>
        <v/>
      </c>
      <c r="G33" s="53" t="str">
        <f>IFERROR(IF(INDEX('Data družstev'!$A$3:$HH$116,27,MATCH($B$3,'Data družstev'!$A$1:$HH$1,0)+6)="","",INDEX('Data družstev'!$A$3:$HH$116,27,MATCH($B$3,'Data družstev'!$A$1:$HH$1,0)+6)),"")</f>
        <v/>
      </c>
      <c r="H33" s="53" t="str">
        <f>IFERROR(IF(INDEX('Data družstev'!$A$3:$HH$116,27,MATCH($B$3,'Data družstev'!$A$1:$HH$1,0)+7)="","",INDEX('Data družstev'!$A$3:$HH$116,27,MATCH($B$3,'Data družstev'!$A$1:$HH$1,0)+7)),"")</f>
        <v/>
      </c>
      <c r="I33" s="53" t="str">
        <f>IFERROR(IF(INDEX('Data družstev'!$A$3:$HH$116,27,MATCH($B$3,'Data družstev'!$A$1:$HH$1,0)+8)="","",INDEX('Data družstev'!$A$3:$HH$116,27,MATCH($B$3,'Data družstev'!$A$1:$HH$1,0)+8)),"")</f>
        <v/>
      </c>
    </row>
    <row r="34" spans="1:9" ht="27.95" customHeight="1" x14ac:dyDescent="0.2">
      <c r="A34" s="62" t="str">
        <f>IFERROR(IF(INDEX('Data družstev'!$A$3:$HH$116,28,MATCH($B$3,'Data družstev'!$A$1:$HH$1,0)+0)="","",INDEX('Data družstev'!$A$3:$HH$116,28,MATCH($B$3,'Data družstev'!$A$1:$HH$1,0)+0)),"")</f>
        <v/>
      </c>
      <c r="B34" s="53" t="str">
        <f>IFERROR(IF(INDEX('Data družstev'!$A$3:$HH$116,28,MATCH($B$3,'Data družstev'!$A$1:$HH$1,0)+1)="","",INDEX('Data družstev'!$A$3:$HH$116,28,MATCH($B$3,'Data družstev'!$A$1:$HH$1,0)+1)),"")</f>
        <v/>
      </c>
      <c r="C34" s="53" t="str">
        <f>IFERROR(IF(INDEX('Data družstev'!$A$3:$HH$116,28,MATCH($B$3,'Data družstev'!$A$1:$HH$1,0)+2)="","",INDEX('Data družstev'!$A$3:$HH$116,28,MATCH($B$3,'Data družstev'!$A$1:$HH$1,0)+2)),"")</f>
        <v/>
      </c>
      <c r="D34" s="53" t="str">
        <f>IFERROR(IF(INDEX('Data družstev'!$A$3:$HH$116,28,MATCH($B$3,'Data družstev'!$A$1:$HH$1,0)+3)="","",INDEX('Data družstev'!$A$3:$HH$116,28,MATCH($B$3,'Data družstev'!$A$1:$HH$1,0)+3)),"")</f>
        <v/>
      </c>
      <c r="E34" s="65" t="str">
        <f>IFERROR(IF(INDEX('Data družstev'!$A$3:$HH$116,28,MATCH($B$3,'Data družstev'!$A$1:$HH$1,0)+4)="","",INDEX('Data družstev'!$A$3:$HH$116,28,MATCH($B$3,'Data družstev'!$A$1:$HH$1,0)+4)),"")</f>
        <v/>
      </c>
      <c r="F34" s="53" t="str">
        <f>IFERROR(IF(INDEX('Data družstev'!$A$3:$HH$116,28,MATCH($B$3,'Data družstev'!$A$1:$HH$1,0)+5)="","",INDEX('Data družstev'!$A$3:$HH$116,28,MATCH($B$3,'Data družstev'!$A$1:$HH$1,0)+5)),"")</f>
        <v/>
      </c>
      <c r="G34" s="53" t="str">
        <f>IFERROR(IF(INDEX('Data družstev'!$A$3:$HH$116,28,MATCH($B$3,'Data družstev'!$A$1:$HH$1,0)+6)="","",INDEX('Data družstev'!$A$3:$HH$116,28,MATCH($B$3,'Data družstev'!$A$1:$HH$1,0)+6)),"")</f>
        <v/>
      </c>
      <c r="H34" s="53" t="str">
        <f>IFERROR(IF(INDEX('Data družstev'!$A$3:$HH$116,28,MATCH($B$3,'Data družstev'!$A$1:$HH$1,0)+7)="","",INDEX('Data družstev'!$A$3:$HH$116,28,MATCH($B$3,'Data družstev'!$A$1:$HH$1,0)+7)),"")</f>
        <v/>
      </c>
      <c r="I34" s="53" t="str">
        <f>IFERROR(IF(INDEX('Data družstev'!$A$3:$HH$116,28,MATCH($B$3,'Data družstev'!$A$1:$HH$1,0)+8)="","",INDEX('Data družstev'!$A$3:$HH$116,28,MATCH($B$3,'Data družstev'!$A$1:$HH$1,0)+8)),"")</f>
        <v/>
      </c>
    </row>
    <row r="35" spans="1:9" ht="27.95" customHeight="1" x14ac:dyDescent="0.2">
      <c r="A35" s="62" t="str">
        <f>IFERROR(IF(INDEX('Data družstev'!$A$3:$HH$116,29,MATCH($B$3,'Data družstev'!$A$1:$HH$1,0)+0)="","",INDEX('Data družstev'!$A$3:$HH$116,29,MATCH($B$3,'Data družstev'!$A$1:$HH$1,0)+0)),"")</f>
        <v/>
      </c>
      <c r="B35" s="53" t="str">
        <f>IFERROR(IF(INDEX('Data družstev'!$A$3:$HH$116,29,MATCH($B$3,'Data družstev'!$A$1:$HH$1,0)+1)="","",INDEX('Data družstev'!$A$3:$HH$116,29,MATCH($B$3,'Data družstev'!$A$1:$HH$1,0)+1)),"")</f>
        <v/>
      </c>
      <c r="C35" s="53" t="str">
        <f>IFERROR(IF(INDEX('Data družstev'!$A$3:$HH$116,29,MATCH($B$3,'Data družstev'!$A$1:$HH$1,0)+2)="","",INDEX('Data družstev'!$A$3:$HH$116,29,MATCH($B$3,'Data družstev'!$A$1:$HH$1,0)+2)),"")</f>
        <v/>
      </c>
      <c r="D35" s="53" t="str">
        <f>IFERROR(IF(INDEX('Data družstev'!$A$3:$HH$116,29,MATCH($B$3,'Data družstev'!$A$1:$HH$1,0)+3)="","",INDEX('Data družstev'!$A$3:$HH$116,29,MATCH($B$3,'Data družstev'!$A$1:$HH$1,0)+3)),"")</f>
        <v/>
      </c>
      <c r="E35" s="65" t="str">
        <f>IFERROR(IF(INDEX('Data družstev'!$A$3:$HH$116,29,MATCH($B$3,'Data družstev'!$A$1:$HH$1,0)+4)="","",INDEX('Data družstev'!$A$3:$HH$116,29,MATCH($B$3,'Data družstev'!$A$1:$HH$1,0)+4)),"")</f>
        <v/>
      </c>
      <c r="F35" s="53" t="str">
        <f>IFERROR(IF(INDEX('Data družstev'!$A$3:$HH$116,29,MATCH($B$3,'Data družstev'!$A$1:$HH$1,0)+5)="","",INDEX('Data družstev'!$A$3:$HH$116,29,MATCH($B$3,'Data družstev'!$A$1:$HH$1,0)+5)),"")</f>
        <v/>
      </c>
      <c r="G35" s="53" t="str">
        <f>IFERROR(IF(INDEX('Data družstev'!$A$3:$HH$116,29,MATCH($B$3,'Data družstev'!$A$1:$HH$1,0)+6)="","",INDEX('Data družstev'!$A$3:$HH$116,29,MATCH($B$3,'Data družstev'!$A$1:$HH$1,0)+6)),"")</f>
        <v/>
      </c>
      <c r="H35" s="53" t="str">
        <f>IFERROR(IF(INDEX('Data družstev'!$A$3:$HH$116,29,MATCH($B$3,'Data družstev'!$A$1:$HH$1,0)+7)="","",INDEX('Data družstev'!$A$3:$HH$116,29,MATCH($B$3,'Data družstev'!$A$1:$HH$1,0)+7)),"")</f>
        <v/>
      </c>
      <c r="I35" s="53" t="str">
        <f>IFERROR(IF(INDEX('Data družstev'!$A$3:$HH$116,29,MATCH($B$3,'Data družstev'!$A$1:$HH$1,0)+8)="","",INDEX('Data družstev'!$A$3:$HH$116,29,MATCH($B$3,'Data družstev'!$A$1:$HH$1,0)+8)),"")</f>
        <v/>
      </c>
    </row>
    <row r="36" spans="1:9" ht="27.95" customHeight="1" x14ac:dyDescent="0.2">
      <c r="A36" s="62" t="str">
        <f>IFERROR(IF(INDEX('Data družstev'!$A$3:$HH$116,30,MATCH($B$3,'Data družstev'!$A$1:$HH$1,0)+0)="","",INDEX('Data družstev'!$A$3:$HH$116,30,MATCH($B$3,'Data družstev'!$A$1:$HH$1,0)+0)),"")</f>
        <v/>
      </c>
      <c r="B36" s="53" t="str">
        <f>IFERROR(IF(INDEX('Data družstev'!$A$3:$HH$116,30,MATCH($B$3,'Data družstev'!$A$1:$HH$1,0)+1)="","",INDEX('Data družstev'!$A$3:$HH$116,30,MATCH($B$3,'Data družstev'!$A$1:$HH$1,0)+1)),"")</f>
        <v/>
      </c>
      <c r="C36" s="53" t="str">
        <f>IFERROR(IF(INDEX('Data družstev'!$A$3:$HH$116,30,MATCH($B$3,'Data družstev'!$A$1:$HH$1,0)+2)="","",INDEX('Data družstev'!$A$3:$HH$116,30,MATCH($B$3,'Data družstev'!$A$1:$HH$1,0)+2)),"")</f>
        <v/>
      </c>
      <c r="D36" s="53" t="str">
        <f>IFERROR(IF(INDEX('Data družstev'!$A$3:$HH$116,30,MATCH($B$3,'Data družstev'!$A$1:$HH$1,0)+3)="","",INDEX('Data družstev'!$A$3:$HH$116,30,MATCH($B$3,'Data družstev'!$A$1:$HH$1,0)+3)),"")</f>
        <v/>
      </c>
      <c r="E36" s="65" t="str">
        <f>IFERROR(IF(INDEX('Data družstev'!$A$3:$HH$116,30,MATCH($B$3,'Data družstev'!$A$1:$HH$1,0)+4)="","",INDEX('Data družstev'!$A$3:$HH$116,30,MATCH($B$3,'Data družstev'!$A$1:$HH$1,0)+4)),"")</f>
        <v/>
      </c>
      <c r="F36" s="53" t="str">
        <f>IFERROR(IF(INDEX('Data družstev'!$A$3:$HH$116,30,MATCH($B$3,'Data družstev'!$A$1:$HH$1,0)+5)="","",INDEX('Data družstev'!$A$3:$HH$116,30,MATCH($B$3,'Data družstev'!$A$1:$HH$1,0)+5)),"")</f>
        <v/>
      </c>
      <c r="G36" s="53" t="str">
        <f>IFERROR(IF(INDEX('Data družstev'!$A$3:$HH$116,30,MATCH($B$3,'Data družstev'!$A$1:$HH$1,0)+6)="","",INDEX('Data družstev'!$A$3:$HH$116,30,MATCH($B$3,'Data družstev'!$A$1:$HH$1,0)+6)),"")</f>
        <v/>
      </c>
      <c r="H36" s="53" t="str">
        <f>IFERROR(IF(INDEX('Data družstev'!$A$3:$HH$116,30,MATCH($B$3,'Data družstev'!$A$1:$HH$1,0)+7)="","",INDEX('Data družstev'!$A$3:$HH$116,30,MATCH($B$3,'Data družstev'!$A$1:$HH$1,0)+7)),"")</f>
        <v/>
      </c>
      <c r="I36" s="53" t="str">
        <f>IFERROR(IF(INDEX('Data družstev'!$A$3:$HH$116,30,MATCH($B$3,'Data družstev'!$A$1:$HH$1,0)+8)="","",INDEX('Data družstev'!$A$3:$HH$116,30,MATCH($B$3,'Data družstev'!$A$1:$HH$1,0)+8)),"")</f>
        <v/>
      </c>
    </row>
    <row r="37" spans="1:9" ht="27.95" customHeight="1" x14ac:dyDescent="0.2">
      <c r="A37" s="62" t="str">
        <f>IFERROR(IF(INDEX('Data družstev'!$A$3:$HH$116,31,MATCH($B$3,'Data družstev'!$A$1:$HH$1,0)+0)="","",INDEX('Data družstev'!$A$3:$HH$116,31,MATCH($B$3,'Data družstev'!$A$1:$HH$1,0)+0)),"")</f>
        <v/>
      </c>
      <c r="B37" s="53" t="str">
        <f>IFERROR(IF(INDEX('Data družstev'!$A$3:$HH$116,31,MATCH($B$3,'Data družstev'!$A$1:$HH$1,0)+1)="","",INDEX('Data družstev'!$A$3:$HH$116,31,MATCH($B$3,'Data družstev'!$A$1:$HH$1,0)+1)),"")</f>
        <v/>
      </c>
      <c r="C37" s="53" t="str">
        <f>IFERROR(IF(INDEX('Data družstev'!$A$3:$HH$116,31,MATCH($B$3,'Data družstev'!$A$1:$HH$1,0)+2)="","",INDEX('Data družstev'!$A$3:$HH$116,31,MATCH($B$3,'Data družstev'!$A$1:$HH$1,0)+2)),"")</f>
        <v/>
      </c>
      <c r="D37" s="53" t="str">
        <f>IFERROR(IF(INDEX('Data družstev'!$A$3:$HH$116,31,MATCH($B$3,'Data družstev'!$A$1:$HH$1,0)+3)="","",INDEX('Data družstev'!$A$3:$HH$116,31,MATCH($B$3,'Data družstev'!$A$1:$HH$1,0)+3)),"")</f>
        <v/>
      </c>
      <c r="E37" s="65" t="str">
        <f>IFERROR(IF(INDEX('Data družstev'!$A$3:$HH$116,31,MATCH($B$3,'Data družstev'!$A$1:$HH$1,0)+4)="","",INDEX('Data družstev'!$A$3:$HH$116,31,MATCH($B$3,'Data družstev'!$A$1:$HH$1,0)+4)),"")</f>
        <v/>
      </c>
      <c r="F37" s="53" t="str">
        <f>IFERROR(IF(INDEX('Data družstev'!$A$3:$HH$116,31,MATCH($B$3,'Data družstev'!$A$1:$HH$1,0)+5)="","",INDEX('Data družstev'!$A$3:$HH$116,31,MATCH($B$3,'Data družstev'!$A$1:$HH$1,0)+5)),"")</f>
        <v/>
      </c>
      <c r="G37" s="53" t="str">
        <f>IFERROR(IF(INDEX('Data družstev'!$A$3:$HH$116,31,MATCH($B$3,'Data družstev'!$A$1:$HH$1,0)+6)="","",INDEX('Data družstev'!$A$3:$HH$116,31,MATCH($B$3,'Data družstev'!$A$1:$HH$1,0)+6)),"")</f>
        <v/>
      </c>
      <c r="H37" s="53" t="str">
        <f>IFERROR(IF(INDEX('Data družstev'!$A$3:$HH$116,31,MATCH($B$3,'Data družstev'!$A$1:$HH$1,0)+7)="","",INDEX('Data družstev'!$A$3:$HH$116,31,MATCH($B$3,'Data družstev'!$A$1:$HH$1,0)+7)),"")</f>
        <v/>
      </c>
      <c r="I37" s="53" t="str">
        <f>IFERROR(IF(INDEX('Data družstev'!$A$3:$HH$116,31,MATCH($B$3,'Data družstev'!$A$1:$HH$1,0)+8)="","",INDEX('Data družstev'!$A$3:$HH$116,31,MATCH($B$3,'Data družstev'!$A$1:$HH$1,0)+8)),"")</f>
        <v/>
      </c>
    </row>
    <row r="38" spans="1:9" ht="27.95" customHeight="1" x14ac:dyDescent="0.2">
      <c r="A38" s="62" t="str">
        <f>IFERROR(IF(INDEX('Data družstev'!$A$3:$HH$116,32,MATCH($B$3,'Data družstev'!$A$1:$HH$1,0)+0)="","",INDEX('Data družstev'!$A$3:$HH$116,32,MATCH($B$3,'Data družstev'!$A$1:$HH$1,0)+0)),"")</f>
        <v/>
      </c>
      <c r="B38" s="53" t="str">
        <f>IFERROR(IF(INDEX('Data družstev'!$A$3:$HH$116,32,MATCH($B$3,'Data družstev'!$A$1:$HH$1,0)+1)="","",INDEX('Data družstev'!$A$3:$HH$116,32,MATCH($B$3,'Data družstev'!$A$1:$HH$1,0)+1)),"")</f>
        <v/>
      </c>
      <c r="C38" s="53" t="str">
        <f>IFERROR(IF(INDEX('Data družstev'!$A$3:$HH$116,32,MATCH($B$3,'Data družstev'!$A$1:$HH$1,0)+2)="","",INDEX('Data družstev'!$A$3:$HH$116,32,MATCH($B$3,'Data družstev'!$A$1:$HH$1,0)+2)),"")</f>
        <v/>
      </c>
      <c r="D38" s="53" t="str">
        <f>IFERROR(IF(INDEX('Data družstev'!$A$3:$HH$116,32,MATCH($B$3,'Data družstev'!$A$1:$HH$1,0)+3)="","",INDEX('Data družstev'!$A$3:$HH$116,32,MATCH($B$3,'Data družstev'!$A$1:$HH$1,0)+3)),"")</f>
        <v/>
      </c>
      <c r="E38" s="65" t="str">
        <f>IFERROR(IF(INDEX('Data družstev'!$A$3:$HH$116,32,MATCH($B$3,'Data družstev'!$A$1:$HH$1,0)+4)="","",INDEX('Data družstev'!$A$3:$HH$116,32,MATCH($B$3,'Data družstev'!$A$1:$HH$1,0)+4)),"")</f>
        <v/>
      </c>
      <c r="F38" s="53" t="str">
        <f>IFERROR(IF(INDEX('Data družstev'!$A$3:$HH$116,32,MATCH($B$3,'Data družstev'!$A$1:$HH$1,0)+5)="","",INDEX('Data družstev'!$A$3:$HH$116,32,MATCH($B$3,'Data družstev'!$A$1:$HH$1,0)+5)),"")</f>
        <v/>
      </c>
      <c r="G38" s="53" t="str">
        <f>IFERROR(IF(INDEX('Data družstev'!$A$3:$HH$116,32,MATCH($B$3,'Data družstev'!$A$1:$HH$1,0)+6)="","",INDEX('Data družstev'!$A$3:$HH$116,32,MATCH($B$3,'Data družstev'!$A$1:$HH$1,0)+6)),"")</f>
        <v/>
      </c>
      <c r="H38" s="53" t="str">
        <f>IFERROR(IF(INDEX('Data družstev'!$A$3:$HH$116,32,MATCH($B$3,'Data družstev'!$A$1:$HH$1,0)+7)="","",INDEX('Data družstev'!$A$3:$HH$116,32,MATCH($B$3,'Data družstev'!$A$1:$HH$1,0)+7)),"")</f>
        <v/>
      </c>
      <c r="I38" s="53" t="str">
        <f>IFERROR(IF(INDEX('Data družstev'!$A$3:$HH$116,32,MATCH($B$3,'Data družstev'!$A$1:$HH$1,0)+8)="","",INDEX('Data družstev'!$A$3:$HH$116,32,MATCH($B$3,'Data družstev'!$A$1:$HH$1,0)+8)),"")</f>
        <v/>
      </c>
    </row>
    <row r="39" spans="1:9" ht="27.95" customHeight="1" x14ac:dyDescent="0.2">
      <c r="A39" s="62" t="str">
        <f>IFERROR(IF(INDEX('Data družstev'!$A$3:$HH$116,33,MATCH($B$3,'Data družstev'!$A$1:$HH$1,0)+0)="","",INDEX('Data družstev'!$A$3:$HH$116,33,MATCH($B$3,'Data družstev'!$A$1:$HH$1,0)+0)),"")</f>
        <v/>
      </c>
      <c r="B39" s="53" t="str">
        <f>IFERROR(IF(INDEX('Data družstev'!$A$3:$HH$116,33,MATCH($B$3,'Data družstev'!$A$1:$HH$1,0)+1)="","",INDEX('Data družstev'!$A$3:$HH$116,33,MATCH($B$3,'Data družstev'!$A$1:$HH$1,0)+1)),"")</f>
        <v/>
      </c>
      <c r="C39" s="53" t="str">
        <f>IFERROR(IF(INDEX('Data družstev'!$A$3:$HH$116,33,MATCH($B$3,'Data družstev'!$A$1:$HH$1,0)+2)="","",INDEX('Data družstev'!$A$3:$HH$116,33,MATCH($B$3,'Data družstev'!$A$1:$HH$1,0)+2)),"")</f>
        <v/>
      </c>
      <c r="D39" s="53" t="str">
        <f>IFERROR(IF(INDEX('Data družstev'!$A$3:$HH$116,33,MATCH($B$3,'Data družstev'!$A$1:$HH$1,0)+3)="","",INDEX('Data družstev'!$A$3:$HH$116,33,MATCH($B$3,'Data družstev'!$A$1:$HH$1,0)+3)),"")</f>
        <v/>
      </c>
      <c r="E39" s="65" t="str">
        <f>IFERROR(IF(INDEX('Data družstev'!$A$3:$HH$116,33,MATCH($B$3,'Data družstev'!$A$1:$HH$1,0)+4)="","",INDEX('Data družstev'!$A$3:$HH$116,33,MATCH($B$3,'Data družstev'!$A$1:$HH$1,0)+4)),"")</f>
        <v/>
      </c>
      <c r="F39" s="53" t="str">
        <f>IFERROR(IF(INDEX('Data družstev'!$A$3:$HH$116,33,MATCH($B$3,'Data družstev'!$A$1:$HH$1,0)+5)="","",INDEX('Data družstev'!$A$3:$HH$116,33,MATCH($B$3,'Data družstev'!$A$1:$HH$1,0)+5)),"")</f>
        <v/>
      </c>
      <c r="G39" s="53" t="str">
        <f>IFERROR(IF(INDEX('Data družstev'!$A$3:$HH$116,33,MATCH($B$3,'Data družstev'!$A$1:$HH$1,0)+6)="","",INDEX('Data družstev'!$A$3:$HH$116,33,MATCH($B$3,'Data družstev'!$A$1:$HH$1,0)+6)),"")</f>
        <v/>
      </c>
      <c r="H39" s="53" t="str">
        <f>IFERROR(IF(INDEX('Data družstev'!$A$3:$HH$116,33,MATCH($B$3,'Data družstev'!$A$1:$HH$1,0)+7)="","",INDEX('Data družstev'!$A$3:$HH$116,33,MATCH($B$3,'Data družstev'!$A$1:$HH$1,0)+7)),"")</f>
        <v/>
      </c>
      <c r="I39" s="53" t="str">
        <f>IFERROR(IF(INDEX('Data družstev'!$A$3:$HH$116,33,MATCH($B$3,'Data družstev'!$A$1:$HH$1,0)+8)="","",INDEX('Data družstev'!$A$3:$HH$116,33,MATCH($B$3,'Data družstev'!$A$1:$HH$1,0)+8)),"")</f>
        <v/>
      </c>
    </row>
    <row r="40" spans="1:9" ht="27.95" customHeight="1" x14ac:dyDescent="0.2">
      <c r="A40" s="62" t="str">
        <f>IFERROR(IF(INDEX('Data družstev'!$A$3:$HH$116,34,MATCH($B$3,'Data družstev'!$A$1:$HH$1,0)+0)="","",INDEX('Data družstev'!$A$3:$HH$116,34,MATCH($B$3,'Data družstev'!$A$1:$HH$1,0)+0)),"")</f>
        <v/>
      </c>
      <c r="B40" s="53" t="str">
        <f>IFERROR(IF(INDEX('Data družstev'!$A$3:$HH$116,34,MATCH($B$3,'Data družstev'!$A$1:$HH$1,0)+1)="","",INDEX('Data družstev'!$A$3:$HH$116,34,MATCH($B$3,'Data družstev'!$A$1:$HH$1,0)+1)),"")</f>
        <v/>
      </c>
      <c r="C40" s="53" t="str">
        <f>IFERROR(IF(INDEX('Data družstev'!$A$3:$HH$116,34,MATCH($B$3,'Data družstev'!$A$1:$HH$1,0)+2)="","",INDEX('Data družstev'!$A$3:$HH$116,34,MATCH($B$3,'Data družstev'!$A$1:$HH$1,0)+2)),"")</f>
        <v/>
      </c>
      <c r="D40" s="53" t="str">
        <f>IFERROR(IF(INDEX('Data družstev'!$A$3:$HH$116,34,MATCH($B$3,'Data družstev'!$A$1:$HH$1,0)+3)="","",INDEX('Data družstev'!$A$3:$HH$116,34,MATCH($B$3,'Data družstev'!$A$1:$HH$1,0)+3)),"")</f>
        <v/>
      </c>
      <c r="E40" s="65" t="str">
        <f>IFERROR(IF(INDEX('Data družstev'!$A$3:$HH$116,34,MATCH($B$3,'Data družstev'!$A$1:$HH$1,0)+4)="","",INDEX('Data družstev'!$A$3:$HH$116,34,MATCH($B$3,'Data družstev'!$A$1:$HH$1,0)+4)),"")</f>
        <v/>
      </c>
      <c r="F40" s="53" t="str">
        <f>IFERROR(IF(INDEX('Data družstev'!$A$3:$HH$116,34,MATCH($B$3,'Data družstev'!$A$1:$HH$1,0)+5)="","",INDEX('Data družstev'!$A$3:$HH$116,34,MATCH($B$3,'Data družstev'!$A$1:$HH$1,0)+5)),"")</f>
        <v/>
      </c>
      <c r="G40" s="53" t="str">
        <f>IFERROR(IF(INDEX('Data družstev'!$A$3:$HH$116,34,MATCH($B$3,'Data družstev'!$A$1:$HH$1,0)+6)="","",INDEX('Data družstev'!$A$3:$HH$116,34,MATCH($B$3,'Data družstev'!$A$1:$HH$1,0)+6)),"")</f>
        <v/>
      </c>
      <c r="H40" s="53" t="str">
        <f>IFERROR(IF(INDEX('Data družstev'!$A$3:$HH$116,34,MATCH($B$3,'Data družstev'!$A$1:$HH$1,0)+7)="","",INDEX('Data družstev'!$A$3:$HH$116,34,MATCH($B$3,'Data družstev'!$A$1:$HH$1,0)+7)),"")</f>
        <v/>
      </c>
      <c r="I40" s="53" t="str">
        <f>IFERROR(IF(INDEX('Data družstev'!$A$3:$HH$116,34,MATCH($B$3,'Data družstev'!$A$1:$HH$1,0)+8)="","",INDEX('Data družstev'!$A$3:$HH$116,34,MATCH($B$3,'Data družstev'!$A$1:$HH$1,0)+8)),"")</f>
        <v/>
      </c>
    </row>
    <row r="41" spans="1:9" ht="27.95" customHeight="1" x14ac:dyDescent="0.2">
      <c r="A41" s="62" t="str">
        <f>IFERROR(IF(INDEX('Data družstev'!$A$3:$HH$116,35,MATCH($B$3,'Data družstev'!$A$1:$HH$1,0)+0)="","",INDEX('Data družstev'!$A$3:$HH$116,35,MATCH($B$3,'Data družstev'!$A$1:$HH$1,0)+0)),"")</f>
        <v/>
      </c>
      <c r="B41" s="53" t="str">
        <f>IFERROR(IF(INDEX('Data družstev'!$A$3:$HH$116,35,MATCH($B$3,'Data družstev'!$A$1:$HH$1,0)+1)="","",INDEX('Data družstev'!$A$3:$HH$116,35,MATCH($B$3,'Data družstev'!$A$1:$HH$1,0)+1)),"")</f>
        <v/>
      </c>
      <c r="C41" s="53" t="str">
        <f>IFERROR(IF(INDEX('Data družstev'!$A$3:$HH$116,35,MATCH($B$3,'Data družstev'!$A$1:$HH$1,0)+2)="","",INDEX('Data družstev'!$A$3:$HH$116,35,MATCH($B$3,'Data družstev'!$A$1:$HH$1,0)+2)),"")</f>
        <v/>
      </c>
      <c r="D41" s="53" t="str">
        <f>IFERROR(IF(INDEX('Data družstev'!$A$3:$HH$116,35,MATCH($B$3,'Data družstev'!$A$1:$HH$1,0)+3)="","",INDEX('Data družstev'!$A$3:$HH$116,35,MATCH($B$3,'Data družstev'!$A$1:$HH$1,0)+3)),"")</f>
        <v/>
      </c>
      <c r="E41" s="65" t="str">
        <f>IFERROR(IF(INDEX('Data družstev'!$A$3:$HH$116,35,MATCH($B$3,'Data družstev'!$A$1:$HH$1,0)+4)="","",INDEX('Data družstev'!$A$3:$HH$116,35,MATCH($B$3,'Data družstev'!$A$1:$HH$1,0)+4)),"")</f>
        <v/>
      </c>
      <c r="F41" s="53" t="str">
        <f>IFERROR(IF(INDEX('Data družstev'!$A$3:$HH$116,35,MATCH($B$3,'Data družstev'!$A$1:$HH$1,0)+5)="","",INDEX('Data družstev'!$A$3:$HH$116,35,MATCH($B$3,'Data družstev'!$A$1:$HH$1,0)+5)),"")</f>
        <v/>
      </c>
      <c r="G41" s="53" t="str">
        <f>IFERROR(IF(INDEX('Data družstev'!$A$3:$HH$116,35,MATCH($B$3,'Data družstev'!$A$1:$HH$1,0)+6)="","",INDEX('Data družstev'!$A$3:$HH$116,35,MATCH($B$3,'Data družstev'!$A$1:$HH$1,0)+6)),"")</f>
        <v/>
      </c>
      <c r="H41" s="53" t="str">
        <f>IFERROR(IF(INDEX('Data družstev'!$A$3:$HH$116,35,MATCH($B$3,'Data družstev'!$A$1:$HH$1,0)+7)="","",INDEX('Data družstev'!$A$3:$HH$116,35,MATCH($B$3,'Data družstev'!$A$1:$HH$1,0)+7)),"")</f>
        <v/>
      </c>
      <c r="I41" s="53" t="str">
        <f>IFERROR(IF(INDEX('Data družstev'!$A$3:$HH$116,35,MATCH($B$3,'Data družstev'!$A$1:$HH$1,0)+8)="","",INDEX('Data družstev'!$A$3:$HH$116,35,MATCH($B$3,'Data družstev'!$A$1:$HH$1,0)+8)),"")</f>
        <v/>
      </c>
    </row>
    <row r="42" spans="1:9" ht="27.95" customHeight="1" x14ac:dyDescent="0.2">
      <c r="A42" s="62" t="str">
        <f>IFERROR(IF(INDEX('Data družstev'!$A$3:$HH$116,36,MATCH($B$3,'Data družstev'!$A$1:$HH$1,0)+0)="","",INDEX('Data družstev'!$A$3:$HH$116,36,MATCH($B$3,'Data družstev'!$A$1:$HH$1,0)+0)),"")</f>
        <v/>
      </c>
      <c r="B42" s="53" t="str">
        <f>IFERROR(IF(INDEX('Data družstev'!$A$3:$HH$116,36,MATCH($B$3,'Data družstev'!$A$1:$HH$1,0)+1)="","",INDEX('Data družstev'!$A$3:$HH$116,36,MATCH($B$3,'Data družstev'!$A$1:$HH$1,0)+1)),"")</f>
        <v/>
      </c>
      <c r="C42" s="53" t="str">
        <f>IFERROR(IF(INDEX('Data družstev'!$A$3:$HH$116,36,MATCH($B$3,'Data družstev'!$A$1:$HH$1,0)+2)="","",INDEX('Data družstev'!$A$3:$HH$116,36,MATCH($B$3,'Data družstev'!$A$1:$HH$1,0)+2)),"")</f>
        <v/>
      </c>
      <c r="D42" s="53" t="str">
        <f>IFERROR(IF(INDEX('Data družstev'!$A$3:$HH$116,36,MATCH($B$3,'Data družstev'!$A$1:$HH$1,0)+3)="","",INDEX('Data družstev'!$A$3:$HH$116,36,MATCH($B$3,'Data družstev'!$A$1:$HH$1,0)+3)),"")</f>
        <v/>
      </c>
      <c r="E42" s="65" t="str">
        <f>IFERROR(IF(INDEX('Data družstev'!$A$3:$HH$116,36,MATCH($B$3,'Data družstev'!$A$1:$HH$1,0)+4)="","",INDEX('Data družstev'!$A$3:$HH$116,36,MATCH($B$3,'Data družstev'!$A$1:$HH$1,0)+4)),"")</f>
        <v/>
      </c>
      <c r="F42" s="53" t="str">
        <f>IFERROR(IF(INDEX('Data družstev'!$A$3:$HH$116,36,MATCH($B$3,'Data družstev'!$A$1:$HH$1,0)+5)="","",INDEX('Data družstev'!$A$3:$HH$116,36,MATCH($B$3,'Data družstev'!$A$1:$HH$1,0)+5)),"")</f>
        <v/>
      </c>
      <c r="G42" s="53" t="str">
        <f>IFERROR(IF(INDEX('Data družstev'!$A$3:$HH$116,36,MATCH($B$3,'Data družstev'!$A$1:$HH$1,0)+6)="","",INDEX('Data družstev'!$A$3:$HH$116,36,MATCH($B$3,'Data družstev'!$A$1:$HH$1,0)+6)),"")</f>
        <v/>
      </c>
      <c r="H42" s="53" t="str">
        <f>IFERROR(IF(INDEX('Data družstev'!$A$3:$HH$116,36,MATCH($B$3,'Data družstev'!$A$1:$HH$1,0)+7)="","",INDEX('Data družstev'!$A$3:$HH$116,36,MATCH($B$3,'Data družstev'!$A$1:$HH$1,0)+7)),"")</f>
        <v/>
      </c>
      <c r="I42" s="53" t="str">
        <f>IFERROR(IF(INDEX('Data družstev'!$A$3:$HH$116,36,MATCH($B$3,'Data družstev'!$A$1:$HH$1,0)+8)="","",INDEX('Data družstev'!$A$3:$HH$116,36,MATCH($B$3,'Data družstev'!$A$1:$HH$1,0)+8)),"")</f>
        <v/>
      </c>
    </row>
    <row r="43" spans="1:9" ht="27.95" customHeight="1" x14ac:dyDescent="0.2">
      <c r="A43" s="62" t="str">
        <f>IFERROR(IF(INDEX('Data družstev'!$A$3:$HH$116,37,MATCH($B$3,'Data družstev'!$A$1:$HH$1,0)+0)="","",INDEX('Data družstev'!$A$3:$HH$116,37,MATCH($B$3,'Data družstev'!$A$1:$HH$1,0)+0)),"")</f>
        <v/>
      </c>
      <c r="B43" s="53" t="str">
        <f>IFERROR(IF(INDEX('Data družstev'!$A$3:$HH$116,37,MATCH($B$3,'Data družstev'!$A$1:$HH$1,0)+1)="","",INDEX('Data družstev'!$A$3:$HH$116,37,MATCH($B$3,'Data družstev'!$A$1:$HH$1,0)+1)),"")</f>
        <v/>
      </c>
      <c r="C43" s="53" t="str">
        <f>IFERROR(IF(INDEX('Data družstev'!$A$3:$HH$116,37,MATCH($B$3,'Data družstev'!$A$1:$HH$1,0)+2)="","",INDEX('Data družstev'!$A$3:$HH$116,37,MATCH($B$3,'Data družstev'!$A$1:$HH$1,0)+2)),"")</f>
        <v/>
      </c>
      <c r="D43" s="53" t="str">
        <f>IFERROR(IF(INDEX('Data družstev'!$A$3:$HH$116,37,MATCH($B$3,'Data družstev'!$A$1:$HH$1,0)+3)="","",INDEX('Data družstev'!$A$3:$HH$116,37,MATCH($B$3,'Data družstev'!$A$1:$HH$1,0)+3)),"")</f>
        <v/>
      </c>
      <c r="E43" s="65" t="str">
        <f>IFERROR(IF(INDEX('Data družstev'!$A$3:$HH$116,37,MATCH($B$3,'Data družstev'!$A$1:$HH$1,0)+4)="","",INDEX('Data družstev'!$A$3:$HH$116,37,MATCH($B$3,'Data družstev'!$A$1:$HH$1,0)+4)),"")</f>
        <v/>
      </c>
      <c r="F43" s="53" t="str">
        <f>IFERROR(IF(INDEX('Data družstev'!$A$3:$HH$116,37,MATCH($B$3,'Data družstev'!$A$1:$HH$1,0)+5)="","",INDEX('Data družstev'!$A$3:$HH$116,37,MATCH($B$3,'Data družstev'!$A$1:$HH$1,0)+5)),"")</f>
        <v/>
      </c>
      <c r="G43" s="53" t="str">
        <f>IFERROR(IF(INDEX('Data družstev'!$A$3:$HH$116,37,MATCH($B$3,'Data družstev'!$A$1:$HH$1,0)+6)="","",INDEX('Data družstev'!$A$3:$HH$116,37,MATCH($B$3,'Data družstev'!$A$1:$HH$1,0)+6)),"")</f>
        <v/>
      </c>
      <c r="H43" s="53" t="str">
        <f>IFERROR(IF(INDEX('Data družstev'!$A$3:$HH$116,37,MATCH($B$3,'Data družstev'!$A$1:$HH$1,0)+7)="","",INDEX('Data družstev'!$A$3:$HH$116,37,MATCH($B$3,'Data družstev'!$A$1:$HH$1,0)+7)),"")</f>
        <v/>
      </c>
      <c r="I43" s="53" t="str">
        <f>IFERROR(IF(INDEX('Data družstev'!$A$3:$HH$116,37,MATCH($B$3,'Data družstev'!$A$1:$HH$1,0)+8)="","",INDEX('Data družstev'!$A$3:$HH$116,37,MATCH($B$3,'Data družstev'!$A$1:$HH$1,0)+8)),"")</f>
        <v/>
      </c>
    </row>
    <row r="44" spans="1:9" ht="27.95" customHeight="1" x14ac:dyDescent="0.2">
      <c r="A44" s="62" t="str">
        <f>IFERROR(IF(INDEX('Data družstev'!$A$3:$HH$116,38,MATCH($B$3,'Data družstev'!$A$1:$HH$1,0)+0)="","",INDEX('Data družstev'!$A$3:$HH$116,38,MATCH($B$3,'Data družstev'!$A$1:$HH$1,0)+0)),"")</f>
        <v/>
      </c>
      <c r="B44" s="53" t="str">
        <f>IFERROR(IF(INDEX('Data družstev'!$A$3:$HH$116,38,MATCH($B$3,'Data družstev'!$A$1:$HH$1,0)+1)="","",INDEX('Data družstev'!$A$3:$HH$116,38,MATCH($B$3,'Data družstev'!$A$1:$HH$1,0)+1)),"")</f>
        <v/>
      </c>
      <c r="C44" s="53" t="str">
        <f>IFERROR(IF(INDEX('Data družstev'!$A$3:$HH$116,38,MATCH($B$3,'Data družstev'!$A$1:$HH$1,0)+2)="","",INDEX('Data družstev'!$A$3:$HH$116,38,MATCH($B$3,'Data družstev'!$A$1:$HH$1,0)+2)),"")</f>
        <v/>
      </c>
      <c r="D44" s="53" t="str">
        <f>IFERROR(IF(INDEX('Data družstev'!$A$3:$HH$116,38,MATCH($B$3,'Data družstev'!$A$1:$HH$1,0)+3)="","",INDEX('Data družstev'!$A$3:$HH$116,38,MATCH($B$3,'Data družstev'!$A$1:$HH$1,0)+3)),"")</f>
        <v/>
      </c>
      <c r="E44" s="65" t="str">
        <f>IFERROR(IF(INDEX('Data družstev'!$A$3:$HH$116,38,MATCH($B$3,'Data družstev'!$A$1:$HH$1,0)+4)="","",INDEX('Data družstev'!$A$3:$HH$116,38,MATCH($B$3,'Data družstev'!$A$1:$HH$1,0)+4)),"")</f>
        <v/>
      </c>
      <c r="F44" s="53" t="str">
        <f>IFERROR(IF(INDEX('Data družstev'!$A$3:$HH$116,38,MATCH($B$3,'Data družstev'!$A$1:$HH$1,0)+5)="","",INDEX('Data družstev'!$A$3:$HH$116,38,MATCH($B$3,'Data družstev'!$A$1:$HH$1,0)+5)),"")</f>
        <v/>
      </c>
      <c r="G44" s="53" t="str">
        <f>IFERROR(IF(INDEX('Data družstev'!$A$3:$HH$116,38,MATCH($B$3,'Data družstev'!$A$1:$HH$1,0)+6)="","",INDEX('Data družstev'!$A$3:$HH$116,38,MATCH($B$3,'Data družstev'!$A$1:$HH$1,0)+6)),"")</f>
        <v/>
      </c>
      <c r="H44" s="53" t="str">
        <f>IFERROR(IF(INDEX('Data družstev'!$A$3:$HH$116,38,MATCH($B$3,'Data družstev'!$A$1:$HH$1,0)+7)="","",INDEX('Data družstev'!$A$3:$HH$116,38,MATCH($B$3,'Data družstev'!$A$1:$HH$1,0)+7)),"")</f>
        <v/>
      </c>
      <c r="I44" s="53" t="str">
        <f>IFERROR(IF(INDEX('Data družstev'!$A$3:$HH$116,38,MATCH($B$3,'Data družstev'!$A$1:$HH$1,0)+8)="","",INDEX('Data družstev'!$A$3:$HH$116,38,MATCH($B$3,'Data družstev'!$A$1:$HH$1,0)+8)),"")</f>
        <v/>
      </c>
    </row>
    <row r="45" spans="1:9" ht="27.95" customHeight="1" x14ac:dyDescent="0.2">
      <c r="A45" s="62" t="str">
        <f>IFERROR(IF(INDEX('Data družstev'!$A$3:$HH$116,39,MATCH($B$3,'Data družstev'!$A$1:$HH$1,0)+0)="","",INDEX('Data družstev'!$A$3:$HH$116,39,MATCH($B$3,'Data družstev'!$A$1:$HH$1,0)+0)),"")</f>
        <v/>
      </c>
      <c r="B45" s="53" t="str">
        <f>IFERROR(IF(INDEX('Data družstev'!$A$3:$HH$116,39,MATCH($B$3,'Data družstev'!$A$1:$HH$1,0)+1)="","",INDEX('Data družstev'!$A$3:$HH$116,39,MATCH($B$3,'Data družstev'!$A$1:$HH$1,0)+1)),"")</f>
        <v/>
      </c>
      <c r="C45" s="53" t="str">
        <f>IFERROR(IF(INDEX('Data družstev'!$A$3:$HH$116,39,MATCH($B$3,'Data družstev'!$A$1:$HH$1,0)+2)="","",INDEX('Data družstev'!$A$3:$HH$116,39,MATCH($B$3,'Data družstev'!$A$1:$HH$1,0)+2)),"")</f>
        <v/>
      </c>
      <c r="D45" s="53" t="str">
        <f>IFERROR(IF(INDEX('Data družstev'!$A$3:$HH$116,39,MATCH($B$3,'Data družstev'!$A$1:$HH$1,0)+3)="","",INDEX('Data družstev'!$A$3:$HH$116,39,MATCH($B$3,'Data družstev'!$A$1:$HH$1,0)+3)),"")</f>
        <v/>
      </c>
      <c r="E45" s="65" t="str">
        <f>IFERROR(IF(INDEX('Data družstev'!$A$3:$HH$116,39,MATCH($B$3,'Data družstev'!$A$1:$HH$1,0)+4)="","",INDEX('Data družstev'!$A$3:$HH$116,39,MATCH($B$3,'Data družstev'!$A$1:$HH$1,0)+4)),"")</f>
        <v/>
      </c>
      <c r="F45" s="53" t="str">
        <f>IFERROR(IF(INDEX('Data družstev'!$A$3:$HH$116,39,MATCH($B$3,'Data družstev'!$A$1:$HH$1,0)+5)="","",INDEX('Data družstev'!$A$3:$HH$116,39,MATCH($B$3,'Data družstev'!$A$1:$HH$1,0)+5)),"")</f>
        <v/>
      </c>
      <c r="G45" s="53" t="str">
        <f>IFERROR(IF(INDEX('Data družstev'!$A$3:$HH$116,39,MATCH($B$3,'Data družstev'!$A$1:$HH$1,0)+6)="","",INDEX('Data družstev'!$A$3:$HH$116,39,MATCH($B$3,'Data družstev'!$A$1:$HH$1,0)+6)),"")</f>
        <v/>
      </c>
      <c r="H45" s="53" t="str">
        <f>IFERROR(IF(INDEX('Data družstev'!$A$3:$HH$116,39,MATCH($B$3,'Data družstev'!$A$1:$HH$1,0)+7)="","",INDEX('Data družstev'!$A$3:$HH$116,39,MATCH($B$3,'Data družstev'!$A$1:$HH$1,0)+7)),"")</f>
        <v/>
      </c>
      <c r="I45" s="53" t="str">
        <f>IFERROR(IF(INDEX('Data družstev'!$A$3:$HH$116,39,MATCH($B$3,'Data družstev'!$A$1:$HH$1,0)+8)="","",INDEX('Data družstev'!$A$3:$HH$116,39,MATCH($B$3,'Data družstev'!$A$1:$HH$1,0)+8)),"")</f>
        <v/>
      </c>
    </row>
    <row r="46" spans="1:9" ht="27.95" customHeight="1" x14ac:dyDescent="0.2">
      <c r="A46" s="62" t="str">
        <f>IFERROR(IF(INDEX('Data družstev'!$A$3:$HH$116,40,MATCH($B$3,'Data družstev'!$A$1:$HH$1,0)+0)="","",INDEX('Data družstev'!$A$3:$HH$116,40,MATCH($B$3,'Data družstev'!$A$1:$HH$1,0)+0)),"")</f>
        <v/>
      </c>
      <c r="B46" s="53" t="str">
        <f>IFERROR(IF(INDEX('Data družstev'!$A$3:$HH$116,40,MATCH($B$3,'Data družstev'!$A$1:$HH$1,0)+1)="","",INDEX('Data družstev'!$A$3:$HH$116,40,MATCH($B$3,'Data družstev'!$A$1:$HH$1,0)+1)),"")</f>
        <v/>
      </c>
      <c r="C46" s="53" t="str">
        <f>IFERROR(IF(INDEX('Data družstev'!$A$3:$HH$116,40,MATCH($B$3,'Data družstev'!$A$1:$HH$1,0)+2)="","",INDEX('Data družstev'!$A$3:$HH$116,40,MATCH($B$3,'Data družstev'!$A$1:$HH$1,0)+2)),"")</f>
        <v/>
      </c>
      <c r="D46" s="53" t="str">
        <f>IFERROR(IF(INDEX('Data družstev'!$A$3:$HH$116,40,MATCH($B$3,'Data družstev'!$A$1:$HH$1,0)+3)="","",INDEX('Data družstev'!$A$3:$HH$116,40,MATCH($B$3,'Data družstev'!$A$1:$HH$1,0)+3)),"")</f>
        <v/>
      </c>
      <c r="E46" s="65" t="str">
        <f>IFERROR(IF(INDEX('Data družstev'!$A$3:$HH$116,40,MATCH($B$3,'Data družstev'!$A$1:$HH$1,0)+4)="","",INDEX('Data družstev'!$A$3:$HH$116,40,MATCH($B$3,'Data družstev'!$A$1:$HH$1,0)+4)),"")</f>
        <v/>
      </c>
      <c r="F46" s="53" t="str">
        <f>IFERROR(IF(INDEX('Data družstev'!$A$3:$HH$116,40,MATCH($B$3,'Data družstev'!$A$1:$HH$1,0)+5)="","",INDEX('Data družstev'!$A$3:$HH$116,40,MATCH($B$3,'Data družstev'!$A$1:$HH$1,0)+5)),"")</f>
        <v/>
      </c>
      <c r="G46" s="53" t="str">
        <f>IFERROR(IF(INDEX('Data družstev'!$A$3:$HH$116,40,MATCH($B$3,'Data družstev'!$A$1:$HH$1,0)+6)="","",INDEX('Data družstev'!$A$3:$HH$116,40,MATCH($B$3,'Data družstev'!$A$1:$HH$1,0)+6)),"")</f>
        <v/>
      </c>
      <c r="H46" s="53" t="str">
        <f>IFERROR(IF(INDEX('Data družstev'!$A$3:$HH$116,40,MATCH($B$3,'Data družstev'!$A$1:$HH$1,0)+7)="","",INDEX('Data družstev'!$A$3:$HH$116,40,MATCH($B$3,'Data družstev'!$A$1:$HH$1,0)+7)),"")</f>
        <v/>
      </c>
      <c r="I46" s="53" t="str">
        <f>IFERROR(IF(INDEX('Data družstev'!$A$3:$HH$116,40,MATCH($B$3,'Data družstev'!$A$1:$HH$1,0)+8)="","",INDEX('Data družstev'!$A$3:$HH$116,40,MATCH($B$3,'Data družstev'!$A$1:$HH$1,0)+8)),"")</f>
        <v/>
      </c>
    </row>
    <row r="47" spans="1:9" ht="27.95" customHeight="1" x14ac:dyDescent="0.2">
      <c r="A47" s="62" t="str">
        <f>IFERROR(IF(INDEX('Data družstev'!$A$3:$HH$116,41,MATCH($B$3,'Data družstev'!$A$1:$HH$1,0)+0)="","",INDEX('Data družstev'!$A$3:$HH$116,41,MATCH($B$3,'Data družstev'!$A$1:$HH$1,0)+0)),"")</f>
        <v/>
      </c>
      <c r="B47" s="53" t="str">
        <f>IFERROR(IF(INDEX('Data družstev'!$A$3:$HH$116,41,MATCH($B$3,'Data družstev'!$A$1:$HH$1,0)+1)="","",INDEX('Data družstev'!$A$3:$HH$116,41,MATCH($B$3,'Data družstev'!$A$1:$HH$1,0)+1)),"")</f>
        <v/>
      </c>
      <c r="C47" s="53" t="str">
        <f>IFERROR(IF(INDEX('Data družstev'!$A$3:$HH$116,41,MATCH($B$3,'Data družstev'!$A$1:$HH$1,0)+2)="","",INDEX('Data družstev'!$A$3:$HH$116,41,MATCH($B$3,'Data družstev'!$A$1:$HH$1,0)+2)),"")</f>
        <v/>
      </c>
      <c r="D47" s="53" t="str">
        <f>IFERROR(IF(INDEX('Data družstev'!$A$3:$HH$116,41,MATCH($B$3,'Data družstev'!$A$1:$HH$1,0)+3)="","",INDEX('Data družstev'!$A$3:$HH$116,41,MATCH($B$3,'Data družstev'!$A$1:$HH$1,0)+3)),"")</f>
        <v/>
      </c>
      <c r="E47" s="65" t="str">
        <f>IFERROR(IF(INDEX('Data družstev'!$A$3:$HH$116,41,MATCH($B$3,'Data družstev'!$A$1:$HH$1,0)+4)="","",INDEX('Data družstev'!$A$3:$HH$116,41,MATCH($B$3,'Data družstev'!$A$1:$HH$1,0)+4)),"")</f>
        <v/>
      </c>
      <c r="F47" s="53" t="str">
        <f>IFERROR(IF(INDEX('Data družstev'!$A$3:$HH$116,41,MATCH($B$3,'Data družstev'!$A$1:$HH$1,0)+5)="","",INDEX('Data družstev'!$A$3:$HH$116,41,MATCH($B$3,'Data družstev'!$A$1:$HH$1,0)+5)),"")</f>
        <v/>
      </c>
      <c r="G47" s="53" t="str">
        <f>IFERROR(IF(INDEX('Data družstev'!$A$3:$HH$116,41,MATCH($B$3,'Data družstev'!$A$1:$HH$1,0)+6)="","",INDEX('Data družstev'!$A$3:$HH$116,41,MATCH($B$3,'Data družstev'!$A$1:$HH$1,0)+6)),"")</f>
        <v/>
      </c>
      <c r="H47" s="53" t="str">
        <f>IFERROR(IF(INDEX('Data družstev'!$A$3:$HH$116,41,MATCH($B$3,'Data družstev'!$A$1:$HH$1,0)+7)="","",INDEX('Data družstev'!$A$3:$HH$116,41,MATCH($B$3,'Data družstev'!$A$1:$HH$1,0)+7)),"")</f>
        <v/>
      </c>
      <c r="I47" s="53" t="str">
        <f>IFERROR(IF(INDEX('Data družstev'!$A$3:$HH$116,41,MATCH($B$3,'Data družstev'!$A$1:$HH$1,0)+8)="","",INDEX('Data družstev'!$A$3:$HH$116,41,MATCH($B$3,'Data družstev'!$A$1:$HH$1,0)+8)),"")</f>
        <v/>
      </c>
    </row>
    <row r="48" spans="1:9" ht="27.95" customHeight="1" x14ac:dyDescent="0.2">
      <c r="A48" s="62" t="str">
        <f>IFERROR(IF(INDEX('Data družstev'!$A$3:$HH$116,42,MATCH($B$3,'Data družstev'!$A$1:$HH$1,0)+0)="","",INDEX('Data družstev'!$A$3:$HH$116,42,MATCH($B$3,'Data družstev'!$A$1:$HH$1,0)+0)),"")</f>
        <v/>
      </c>
      <c r="B48" s="53" t="str">
        <f>IFERROR(IF(INDEX('Data družstev'!$A$3:$HH$116,42,MATCH($B$3,'Data družstev'!$A$1:$HH$1,0)+1)="","",INDEX('Data družstev'!$A$3:$HH$116,42,MATCH($B$3,'Data družstev'!$A$1:$HH$1,0)+1)),"")</f>
        <v/>
      </c>
      <c r="C48" s="53" t="str">
        <f>IFERROR(IF(INDEX('Data družstev'!$A$3:$HH$116,42,MATCH($B$3,'Data družstev'!$A$1:$HH$1,0)+2)="","",INDEX('Data družstev'!$A$3:$HH$116,42,MATCH($B$3,'Data družstev'!$A$1:$HH$1,0)+2)),"")</f>
        <v/>
      </c>
      <c r="D48" s="53" t="str">
        <f>IFERROR(IF(INDEX('Data družstev'!$A$3:$HH$116,42,MATCH($B$3,'Data družstev'!$A$1:$HH$1,0)+3)="","",INDEX('Data družstev'!$A$3:$HH$116,42,MATCH($B$3,'Data družstev'!$A$1:$HH$1,0)+3)),"")</f>
        <v/>
      </c>
      <c r="E48" s="65" t="str">
        <f>IFERROR(IF(INDEX('Data družstev'!$A$3:$HH$116,42,MATCH($B$3,'Data družstev'!$A$1:$HH$1,0)+4)="","",INDEX('Data družstev'!$A$3:$HH$116,42,MATCH($B$3,'Data družstev'!$A$1:$HH$1,0)+4)),"")</f>
        <v/>
      </c>
      <c r="F48" s="53" t="str">
        <f>IFERROR(IF(INDEX('Data družstev'!$A$3:$HH$116,42,MATCH($B$3,'Data družstev'!$A$1:$HH$1,0)+5)="","",INDEX('Data družstev'!$A$3:$HH$116,42,MATCH($B$3,'Data družstev'!$A$1:$HH$1,0)+5)),"")</f>
        <v/>
      </c>
      <c r="G48" s="53" t="str">
        <f>IFERROR(IF(INDEX('Data družstev'!$A$3:$HH$116,42,MATCH($B$3,'Data družstev'!$A$1:$HH$1,0)+6)="","",INDEX('Data družstev'!$A$3:$HH$116,42,MATCH($B$3,'Data družstev'!$A$1:$HH$1,0)+6)),"")</f>
        <v/>
      </c>
      <c r="H48" s="53" t="str">
        <f>IFERROR(IF(INDEX('Data družstev'!$A$3:$HH$116,42,MATCH($B$3,'Data družstev'!$A$1:$HH$1,0)+7)="","",INDEX('Data družstev'!$A$3:$HH$116,42,MATCH($B$3,'Data družstev'!$A$1:$HH$1,0)+7)),"")</f>
        <v/>
      </c>
      <c r="I48" s="53" t="str">
        <f>IFERROR(IF(INDEX('Data družstev'!$A$3:$HH$116,42,MATCH($B$3,'Data družstev'!$A$1:$HH$1,0)+8)="","",INDEX('Data družstev'!$A$3:$HH$116,42,MATCH($B$3,'Data družstev'!$A$1:$HH$1,0)+8)),"")</f>
        <v/>
      </c>
    </row>
    <row r="49" spans="1:9" ht="27.95" customHeight="1" x14ac:dyDescent="0.2">
      <c r="A49" s="62" t="str">
        <f>IFERROR(IF(INDEX('Data družstev'!$A$3:$HH$116,43,MATCH($B$3,'Data družstev'!$A$1:$HH$1,0)+0)="","",INDEX('Data družstev'!$A$3:$HH$116,43,MATCH($B$3,'Data družstev'!$A$1:$HH$1,0)+0)),"")</f>
        <v/>
      </c>
      <c r="B49" s="53" t="str">
        <f>IFERROR(IF(INDEX('Data družstev'!$A$3:$HH$116,43,MATCH($B$3,'Data družstev'!$A$1:$HH$1,0)+1)="","",INDEX('Data družstev'!$A$3:$HH$116,43,MATCH($B$3,'Data družstev'!$A$1:$HH$1,0)+1)),"")</f>
        <v/>
      </c>
      <c r="C49" s="53" t="str">
        <f>IFERROR(IF(INDEX('Data družstev'!$A$3:$HH$116,43,MATCH($B$3,'Data družstev'!$A$1:$HH$1,0)+2)="","",INDEX('Data družstev'!$A$3:$HH$116,43,MATCH($B$3,'Data družstev'!$A$1:$HH$1,0)+2)),"")</f>
        <v/>
      </c>
      <c r="D49" s="53" t="str">
        <f>IFERROR(IF(INDEX('Data družstev'!$A$3:$HH$116,43,MATCH($B$3,'Data družstev'!$A$1:$HH$1,0)+3)="","",INDEX('Data družstev'!$A$3:$HH$116,43,MATCH($B$3,'Data družstev'!$A$1:$HH$1,0)+3)),"")</f>
        <v/>
      </c>
      <c r="E49" s="65" t="str">
        <f>IFERROR(IF(INDEX('Data družstev'!$A$3:$HH$116,43,MATCH($B$3,'Data družstev'!$A$1:$HH$1,0)+4)="","",INDEX('Data družstev'!$A$3:$HH$116,43,MATCH($B$3,'Data družstev'!$A$1:$HH$1,0)+4)),"")</f>
        <v/>
      </c>
      <c r="F49" s="53" t="str">
        <f>IFERROR(IF(INDEX('Data družstev'!$A$3:$HH$116,43,MATCH($B$3,'Data družstev'!$A$1:$HH$1,0)+5)="","",INDEX('Data družstev'!$A$3:$HH$116,43,MATCH($B$3,'Data družstev'!$A$1:$HH$1,0)+5)),"")</f>
        <v/>
      </c>
      <c r="G49" s="53" t="str">
        <f>IFERROR(IF(INDEX('Data družstev'!$A$3:$HH$116,43,MATCH($B$3,'Data družstev'!$A$1:$HH$1,0)+6)="","",INDEX('Data družstev'!$A$3:$HH$116,43,MATCH($B$3,'Data družstev'!$A$1:$HH$1,0)+6)),"")</f>
        <v/>
      </c>
      <c r="H49" s="53" t="str">
        <f>IFERROR(IF(INDEX('Data družstev'!$A$3:$HH$116,43,MATCH($B$3,'Data družstev'!$A$1:$HH$1,0)+7)="","",INDEX('Data družstev'!$A$3:$HH$116,43,MATCH($B$3,'Data družstev'!$A$1:$HH$1,0)+7)),"")</f>
        <v/>
      </c>
      <c r="I49" s="53" t="str">
        <f>IFERROR(IF(INDEX('Data družstev'!$A$3:$HH$116,43,MATCH($B$3,'Data družstev'!$A$1:$HH$1,0)+8)="","",INDEX('Data družstev'!$A$3:$HH$116,43,MATCH($B$3,'Data družstev'!$A$1:$HH$1,0)+8)),"")</f>
        <v/>
      </c>
    </row>
    <row r="50" spans="1:9" ht="27.95" customHeight="1" x14ac:dyDescent="0.2">
      <c r="A50" s="62" t="str">
        <f>IFERROR(IF(INDEX('Data družstev'!$A$3:$HH$116,44,MATCH($B$3,'Data družstev'!$A$1:$HH$1,0)+0)="","",INDEX('Data družstev'!$A$3:$HH$116,44,MATCH($B$3,'Data družstev'!$A$1:$HH$1,0)+0)),"")</f>
        <v/>
      </c>
      <c r="B50" s="53" t="str">
        <f>IFERROR(IF(INDEX('Data družstev'!$A$3:$HH$116,44,MATCH($B$3,'Data družstev'!$A$1:$HH$1,0)+1)="","",INDEX('Data družstev'!$A$3:$HH$116,44,MATCH($B$3,'Data družstev'!$A$1:$HH$1,0)+1)),"")</f>
        <v/>
      </c>
      <c r="C50" s="53" t="str">
        <f>IFERROR(IF(INDEX('Data družstev'!$A$3:$HH$116,44,MATCH($B$3,'Data družstev'!$A$1:$HH$1,0)+2)="","",INDEX('Data družstev'!$A$3:$HH$116,44,MATCH($B$3,'Data družstev'!$A$1:$HH$1,0)+2)),"")</f>
        <v/>
      </c>
      <c r="D50" s="53" t="str">
        <f>IFERROR(IF(INDEX('Data družstev'!$A$3:$HH$116,44,MATCH($B$3,'Data družstev'!$A$1:$HH$1,0)+3)="","",INDEX('Data družstev'!$A$3:$HH$116,44,MATCH($B$3,'Data družstev'!$A$1:$HH$1,0)+3)),"")</f>
        <v/>
      </c>
      <c r="E50" s="65" t="str">
        <f>IFERROR(IF(INDEX('Data družstev'!$A$3:$HH$116,44,MATCH($B$3,'Data družstev'!$A$1:$HH$1,0)+4)="","",INDEX('Data družstev'!$A$3:$HH$116,44,MATCH($B$3,'Data družstev'!$A$1:$HH$1,0)+4)),"")</f>
        <v/>
      </c>
      <c r="F50" s="53" t="str">
        <f>IFERROR(IF(INDEX('Data družstev'!$A$3:$HH$116,44,MATCH($B$3,'Data družstev'!$A$1:$HH$1,0)+5)="","",INDEX('Data družstev'!$A$3:$HH$116,44,MATCH($B$3,'Data družstev'!$A$1:$HH$1,0)+5)),"")</f>
        <v/>
      </c>
      <c r="G50" s="53" t="str">
        <f>IFERROR(IF(INDEX('Data družstev'!$A$3:$HH$116,44,MATCH($B$3,'Data družstev'!$A$1:$HH$1,0)+6)="","",INDEX('Data družstev'!$A$3:$HH$116,44,MATCH($B$3,'Data družstev'!$A$1:$HH$1,0)+6)),"")</f>
        <v/>
      </c>
      <c r="H50" s="53" t="str">
        <f>IFERROR(IF(INDEX('Data družstev'!$A$3:$HH$116,44,MATCH($B$3,'Data družstev'!$A$1:$HH$1,0)+7)="","",INDEX('Data družstev'!$A$3:$HH$116,44,MATCH($B$3,'Data družstev'!$A$1:$HH$1,0)+7)),"")</f>
        <v/>
      </c>
      <c r="I50" s="53" t="str">
        <f>IFERROR(IF(INDEX('Data družstev'!$A$3:$HH$116,44,MATCH($B$3,'Data družstev'!$A$1:$HH$1,0)+8)="","",INDEX('Data družstev'!$A$3:$HH$116,44,MATCH($B$3,'Data družstev'!$A$1:$HH$1,0)+8)),"")</f>
        <v/>
      </c>
    </row>
    <row r="51" spans="1:9" ht="27.95" customHeight="1" x14ac:dyDescent="0.2">
      <c r="A51" s="62" t="str">
        <f>IFERROR(IF(INDEX('Data družstev'!$A$3:$HH$116,45,MATCH($B$3,'Data družstev'!$A$1:$HH$1,0)+0)="","",INDEX('Data družstev'!$A$3:$HH$116,45,MATCH($B$3,'Data družstev'!$A$1:$HH$1,0)+0)),"")</f>
        <v/>
      </c>
      <c r="B51" s="53" t="str">
        <f>IFERROR(IF(INDEX('Data družstev'!$A$3:$HH$116,45,MATCH($B$3,'Data družstev'!$A$1:$HH$1,0)+1)="","",INDEX('Data družstev'!$A$3:$HH$116,45,MATCH($B$3,'Data družstev'!$A$1:$HH$1,0)+1)),"")</f>
        <v/>
      </c>
      <c r="C51" s="53" t="str">
        <f>IFERROR(IF(INDEX('Data družstev'!$A$3:$HH$116,45,MATCH($B$3,'Data družstev'!$A$1:$HH$1,0)+2)="","",INDEX('Data družstev'!$A$3:$HH$116,45,MATCH($B$3,'Data družstev'!$A$1:$HH$1,0)+2)),"")</f>
        <v/>
      </c>
      <c r="D51" s="53" t="str">
        <f>IFERROR(IF(INDEX('Data družstev'!$A$3:$HH$116,45,MATCH($B$3,'Data družstev'!$A$1:$HH$1,0)+3)="","",INDEX('Data družstev'!$A$3:$HH$116,45,MATCH($B$3,'Data družstev'!$A$1:$HH$1,0)+3)),"")</f>
        <v/>
      </c>
      <c r="E51" s="65" t="str">
        <f>IFERROR(IF(INDEX('Data družstev'!$A$3:$HH$116,45,MATCH($B$3,'Data družstev'!$A$1:$HH$1,0)+4)="","",INDEX('Data družstev'!$A$3:$HH$116,45,MATCH($B$3,'Data družstev'!$A$1:$HH$1,0)+4)),"")</f>
        <v/>
      </c>
      <c r="F51" s="53" t="str">
        <f>IFERROR(IF(INDEX('Data družstev'!$A$3:$HH$116,45,MATCH($B$3,'Data družstev'!$A$1:$HH$1,0)+5)="","",INDEX('Data družstev'!$A$3:$HH$116,45,MATCH($B$3,'Data družstev'!$A$1:$HH$1,0)+5)),"")</f>
        <v/>
      </c>
      <c r="G51" s="53" t="str">
        <f>IFERROR(IF(INDEX('Data družstev'!$A$3:$HH$116,45,MATCH($B$3,'Data družstev'!$A$1:$HH$1,0)+6)="","",INDEX('Data družstev'!$A$3:$HH$116,45,MATCH($B$3,'Data družstev'!$A$1:$HH$1,0)+6)),"")</f>
        <v/>
      </c>
      <c r="H51" s="53" t="str">
        <f>IFERROR(IF(INDEX('Data družstev'!$A$3:$HH$116,45,MATCH($B$3,'Data družstev'!$A$1:$HH$1,0)+7)="","",INDEX('Data družstev'!$A$3:$HH$116,45,MATCH($B$3,'Data družstev'!$A$1:$HH$1,0)+7)),"")</f>
        <v/>
      </c>
      <c r="I51" s="53" t="str">
        <f>IFERROR(IF(INDEX('Data družstev'!$A$3:$HH$116,45,MATCH($B$3,'Data družstev'!$A$1:$HH$1,0)+8)="","",INDEX('Data družstev'!$A$3:$HH$116,45,MATCH($B$3,'Data družstev'!$A$1:$HH$1,0)+8)),"")</f>
        <v/>
      </c>
    </row>
    <row r="52" spans="1:9" ht="27.95" customHeight="1" x14ac:dyDescent="0.2">
      <c r="A52" s="62" t="str">
        <f>IFERROR(IF(INDEX('Data družstev'!$A$3:$HH$116,46,MATCH($B$3,'Data družstev'!$A$1:$HH$1,0)+0)="","",INDEX('Data družstev'!$A$3:$HH$116,46,MATCH($B$3,'Data družstev'!$A$1:$HH$1,0)+0)),"")</f>
        <v/>
      </c>
      <c r="B52" s="53" t="str">
        <f>IFERROR(IF(INDEX('Data družstev'!$A$3:$HH$116,46,MATCH($B$3,'Data družstev'!$A$1:$HH$1,0)+1)="","",INDEX('Data družstev'!$A$3:$HH$116,46,MATCH($B$3,'Data družstev'!$A$1:$HH$1,0)+1)),"")</f>
        <v/>
      </c>
      <c r="C52" s="53" t="str">
        <f>IFERROR(IF(INDEX('Data družstev'!$A$3:$HH$116,46,MATCH($B$3,'Data družstev'!$A$1:$HH$1,0)+2)="","",INDEX('Data družstev'!$A$3:$HH$116,46,MATCH($B$3,'Data družstev'!$A$1:$HH$1,0)+2)),"")</f>
        <v/>
      </c>
      <c r="D52" s="53" t="str">
        <f>IFERROR(IF(INDEX('Data družstev'!$A$3:$HH$116,46,MATCH($B$3,'Data družstev'!$A$1:$HH$1,0)+3)="","",INDEX('Data družstev'!$A$3:$HH$116,46,MATCH($B$3,'Data družstev'!$A$1:$HH$1,0)+3)),"")</f>
        <v/>
      </c>
      <c r="E52" s="65" t="str">
        <f>IFERROR(IF(INDEX('Data družstev'!$A$3:$HH$116,46,MATCH($B$3,'Data družstev'!$A$1:$HH$1,0)+4)="","",INDEX('Data družstev'!$A$3:$HH$116,46,MATCH($B$3,'Data družstev'!$A$1:$HH$1,0)+4)),"")</f>
        <v/>
      </c>
      <c r="F52" s="53" t="str">
        <f>IFERROR(IF(INDEX('Data družstev'!$A$3:$HH$116,46,MATCH($B$3,'Data družstev'!$A$1:$HH$1,0)+5)="","",INDEX('Data družstev'!$A$3:$HH$116,46,MATCH($B$3,'Data družstev'!$A$1:$HH$1,0)+5)),"")</f>
        <v/>
      </c>
      <c r="G52" s="53" t="str">
        <f>IFERROR(IF(INDEX('Data družstev'!$A$3:$HH$116,46,MATCH($B$3,'Data družstev'!$A$1:$HH$1,0)+6)="","",INDEX('Data družstev'!$A$3:$HH$116,46,MATCH($B$3,'Data družstev'!$A$1:$HH$1,0)+6)),"")</f>
        <v/>
      </c>
      <c r="H52" s="53" t="str">
        <f>IFERROR(IF(INDEX('Data družstev'!$A$3:$HH$116,46,MATCH($B$3,'Data družstev'!$A$1:$HH$1,0)+7)="","",INDEX('Data družstev'!$A$3:$HH$116,46,MATCH($B$3,'Data družstev'!$A$1:$HH$1,0)+7)),"")</f>
        <v/>
      </c>
      <c r="I52" s="53" t="str">
        <f>IFERROR(IF(INDEX('Data družstev'!$A$3:$HH$116,46,MATCH($B$3,'Data družstev'!$A$1:$HH$1,0)+8)="","",INDEX('Data družstev'!$A$3:$HH$116,46,MATCH($B$3,'Data družstev'!$A$1:$HH$1,0)+8)),"")</f>
        <v/>
      </c>
    </row>
    <row r="53" spans="1:9" ht="27.95" customHeight="1" x14ac:dyDescent="0.2">
      <c r="A53" s="62" t="str">
        <f>IFERROR(IF(INDEX('Data družstev'!$A$3:$HH$116,47,MATCH($B$3,'Data družstev'!$A$1:$HH$1,0)+0)="","",INDEX('Data družstev'!$A$3:$HH$116,47,MATCH($B$3,'Data družstev'!$A$1:$HH$1,0)+0)),"")</f>
        <v/>
      </c>
      <c r="B53" s="53" t="str">
        <f>IFERROR(IF(INDEX('Data družstev'!$A$3:$HH$116,47,MATCH($B$3,'Data družstev'!$A$1:$HH$1,0)+1)="","",INDEX('Data družstev'!$A$3:$HH$116,47,MATCH($B$3,'Data družstev'!$A$1:$HH$1,0)+1)),"")</f>
        <v/>
      </c>
      <c r="C53" s="53" t="str">
        <f>IFERROR(IF(INDEX('Data družstev'!$A$3:$HH$116,47,MATCH($B$3,'Data družstev'!$A$1:$HH$1,0)+2)="","",INDEX('Data družstev'!$A$3:$HH$116,47,MATCH($B$3,'Data družstev'!$A$1:$HH$1,0)+2)),"")</f>
        <v/>
      </c>
      <c r="D53" s="53" t="str">
        <f>IFERROR(IF(INDEX('Data družstev'!$A$3:$HH$116,47,MATCH($B$3,'Data družstev'!$A$1:$HH$1,0)+3)="","",INDEX('Data družstev'!$A$3:$HH$116,47,MATCH($B$3,'Data družstev'!$A$1:$HH$1,0)+3)),"")</f>
        <v/>
      </c>
      <c r="E53" s="65" t="str">
        <f>IFERROR(IF(INDEX('Data družstev'!$A$3:$HH$116,47,MATCH($B$3,'Data družstev'!$A$1:$HH$1,0)+4)="","",INDEX('Data družstev'!$A$3:$HH$116,47,MATCH($B$3,'Data družstev'!$A$1:$HH$1,0)+4)),"")</f>
        <v/>
      </c>
      <c r="F53" s="53" t="str">
        <f>IFERROR(IF(INDEX('Data družstev'!$A$3:$HH$116,47,MATCH($B$3,'Data družstev'!$A$1:$HH$1,0)+5)="","",INDEX('Data družstev'!$A$3:$HH$116,47,MATCH($B$3,'Data družstev'!$A$1:$HH$1,0)+5)),"")</f>
        <v/>
      </c>
      <c r="G53" s="53" t="str">
        <f>IFERROR(IF(INDEX('Data družstev'!$A$3:$HH$116,47,MATCH($B$3,'Data družstev'!$A$1:$HH$1,0)+6)="","",INDEX('Data družstev'!$A$3:$HH$116,47,MATCH($B$3,'Data družstev'!$A$1:$HH$1,0)+6)),"")</f>
        <v/>
      </c>
      <c r="H53" s="53" t="str">
        <f>IFERROR(IF(INDEX('Data družstev'!$A$3:$HH$116,47,MATCH($B$3,'Data družstev'!$A$1:$HH$1,0)+7)="","",INDEX('Data družstev'!$A$3:$HH$116,47,MATCH($B$3,'Data družstev'!$A$1:$HH$1,0)+7)),"")</f>
        <v/>
      </c>
      <c r="I53" s="53" t="str">
        <f>IFERROR(IF(INDEX('Data družstev'!$A$3:$HH$116,47,MATCH($B$3,'Data družstev'!$A$1:$HH$1,0)+8)="","",INDEX('Data družstev'!$A$3:$HH$116,47,MATCH($B$3,'Data družstev'!$A$1:$HH$1,0)+8)),"")</f>
        <v/>
      </c>
    </row>
    <row r="54" spans="1:9" ht="27.95" customHeight="1" x14ac:dyDescent="0.2">
      <c r="A54" s="62" t="str">
        <f>IFERROR(IF(INDEX('Data družstev'!$A$3:$HH$116,48,MATCH($B$3,'Data družstev'!$A$1:$HH$1,0)+0)="","",INDEX('Data družstev'!$A$3:$HH$116,48,MATCH($B$3,'Data družstev'!$A$1:$HH$1,0)+0)),"")</f>
        <v/>
      </c>
      <c r="B54" s="53" t="str">
        <f>IFERROR(IF(INDEX('Data družstev'!$A$3:$HH$116,48,MATCH($B$3,'Data družstev'!$A$1:$HH$1,0)+1)="","",INDEX('Data družstev'!$A$3:$HH$116,48,MATCH($B$3,'Data družstev'!$A$1:$HH$1,0)+1)),"")</f>
        <v/>
      </c>
      <c r="C54" s="53" t="str">
        <f>IFERROR(IF(INDEX('Data družstev'!$A$3:$HH$116,48,MATCH($B$3,'Data družstev'!$A$1:$HH$1,0)+2)="","",INDEX('Data družstev'!$A$3:$HH$116,48,MATCH($B$3,'Data družstev'!$A$1:$HH$1,0)+2)),"")</f>
        <v/>
      </c>
      <c r="D54" s="53" t="str">
        <f>IFERROR(IF(INDEX('Data družstev'!$A$3:$HH$116,48,MATCH($B$3,'Data družstev'!$A$1:$HH$1,0)+3)="","",INDEX('Data družstev'!$A$3:$HH$116,48,MATCH($B$3,'Data družstev'!$A$1:$HH$1,0)+3)),"")</f>
        <v/>
      </c>
      <c r="E54" s="65" t="str">
        <f>IFERROR(IF(INDEX('Data družstev'!$A$3:$HH$116,48,MATCH($B$3,'Data družstev'!$A$1:$HH$1,0)+4)="","",INDEX('Data družstev'!$A$3:$HH$116,48,MATCH($B$3,'Data družstev'!$A$1:$HH$1,0)+4)),"")</f>
        <v/>
      </c>
      <c r="F54" s="53" t="str">
        <f>IFERROR(IF(INDEX('Data družstev'!$A$3:$HH$116,48,MATCH($B$3,'Data družstev'!$A$1:$HH$1,0)+5)="","",INDEX('Data družstev'!$A$3:$HH$116,48,MATCH($B$3,'Data družstev'!$A$1:$HH$1,0)+5)),"")</f>
        <v/>
      </c>
      <c r="G54" s="53" t="str">
        <f>IFERROR(IF(INDEX('Data družstev'!$A$3:$HH$116,48,MATCH($B$3,'Data družstev'!$A$1:$HH$1,0)+6)="","",INDEX('Data družstev'!$A$3:$HH$116,48,MATCH($B$3,'Data družstev'!$A$1:$HH$1,0)+6)),"")</f>
        <v/>
      </c>
      <c r="H54" s="53" t="str">
        <f>IFERROR(IF(INDEX('Data družstev'!$A$3:$HH$116,48,MATCH($B$3,'Data družstev'!$A$1:$HH$1,0)+7)="","",INDEX('Data družstev'!$A$3:$HH$116,48,MATCH($B$3,'Data družstev'!$A$1:$HH$1,0)+7)),"")</f>
        <v/>
      </c>
      <c r="I54" s="53" t="str">
        <f>IFERROR(IF(INDEX('Data družstev'!$A$3:$HH$116,48,MATCH($B$3,'Data družstev'!$A$1:$HH$1,0)+8)="","",INDEX('Data družstev'!$A$3:$HH$116,48,MATCH($B$3,'Data družstev'!$A$1:$HH$1,0)+8)),"")</f>
        <v/>
      </c>
    </row>
    <row r="55" spans="1:9" ht="27.95" customHeight="1" x14ac:dyDescent="0.2">
      <c r="A55" s="62" t="str">
        <f>IFERROR(IF(INDEX('Data družstev'!$A$3:$HH$116,49,MATCH($B$3,'Data družstev'!$A$1:$HH$1,0)+0)="","",INDEX('Data družstev'!$A$3:$HH$116,49,MATCH($B$3,'Data družstev'!$A$1:$HH$1,0)+0)),"")</f>
        <v/>
      </c>
      <c r="B55" s="53" t="str">
        <f>IFERROR(IF(INDEX('Data družstev'!$A$3:$HH$116,49,MATCH($B$3,'Data družstev'!$A$1:$HH$1,0)+1)="","",INDEX('Data družstev'!$A$3:$HH$116,49,MATCH($B$3,'Data družstev'!$A$1:$HH$1,0)+1)),"")</f>
        <v/>
      </c>
      <c r="C55" s="53" t="str">
        <f>IFERROR(IF(INDEX('Data družstev'!$A$3:$HH$116,49,MATCH($B$3,'Data družstev'!$A$1:$HH$1,0)+2)="","",INDEX('Data družstev'!$A$3:$HH$116,49,MATCH($B$3,'Data družstev'!$A$1:$HH$1,0)+2)),"")</f>
        <v/>
      </c>
      <c r="D55" s="53" t="str">
        <f>IFERROR(IF(INDEX('Data družstev'!$A$3:$HH$116,49,MATCH($B$3,'Data družstev'!$A$1:$HH$1,0)+3)="","",INDEX('Data družstev'!$A$3:$HH$116,49,MATCH($B$3,'Data družstev'!$A$1:$HH$1,0)+3)),"")</f>
        <v/>
      </c>
      <c r="E55" s="65" t="str">
        <f>IFERROR(IF(INDEX('Data družstev'!$A$3:$HH$116,49,MATCH($B$3,'Data družstev'!$A$1:$HH$1,0)+4)="","",INDEX('Data družstev'!$A$3:$HH$116,49,MATCH($B$3,'Data družstev'!$A$1:$HH$1,0)+4)),"")</f>
        <v/>
      </c>
      <c r="F55" s="53" t="str">
        <f>IFERROR(IF(INDEX('Data družstev'!$A$3:$HH$116,49,MATCH($B$3,'Data družstev'!$A$1:$HH$1,0)+5)="","",INDEX('Data družstev'!$A$3:$HH$116,49,MATCH($B$3,'Data družstev'!$A$1:$HH$1,0)+5)),"")</f>
        <v/>
      </c>
      <c r="G55" s="53" t="str">
        <f>IFERROR(IF(INDEX('Data družstev'!$A$3:$HH$116,49,MATCH($B$3,'Data družstev'!$A$1:$HH$1,0)+6)="","",INDEX('Data družstev'!$A$3:$HH$116,49,MATCH($B$3,'Data družstev'!$A$1:$HH$1,0)+6)),"")</f>
        <v/>
      </c>
      <c r="H55" s="53" t="str">
        <f>IFERROR(IF(INDEX('Data družstev'!$A$3:$HH$116,49,MATCH($B$3,'Data družstev'!$A$1:$HH$1,0)+7)="","",INDEX('Data družstev'!$A$3:$HH$116,49,MATCH($B$3,'Data družstev'!$A$1:$HH$1,0)+7)),"")</f>
        <v/>
      </c>
      <c r="I55" s="53" t="str">
        <f>IFERROR(IF(INDEX('Data družstev'!$A$3:$HH$116,49,MATCH($B$3,'Data družstev'!$A$1:$HH$1,0)+8)="","",INDEX('Data družstev'!$A$3:$HH$116,49,MATCH($B$3,'Data družstev'!$A$1:$HH$1,0)+8)),"")</f>
        <v/>
      </c>
    </row>
    <row r="56" spans="1:9" ht="27.95" customHeight="1" x14ac:dyDescent="0.2">
      <c r="A56" s="62" t="str">
        <f>IFERROR(IF(INDEX('Data družstev'!$A$3:$HH$116,50,MATCH($B$3,'Data družstev'!$A$1:$HH$1,0)+0)="","",INDEX('Data družstev'!$A$3:$HH$116,50,MATCH($B$3,'Data družstev'!$A$1:$HH$1,0)+0)),"")</f>
        <v/>
      </c>
      <c r="B56" s="53" t="str">
        <f>IFERROR(IF(INDEX('Data družstev'!$A$3:$HH$116,50,MATCH($B$3,'Data družstev'!$A$1:$HH$1,0)+1)="","",INDEX('Data družstev'!$A$3:$HH$116,50,MATCH($B$3,'Data družstev'!$A$1:$HH$1,0)+1)),"")</f>
        <v/>
      </c>
      <c r="C56" s="53" t="str">
        <f>IFERROR(IF(INDEX('Data družstev'!$A$3:$HH$116,50,MATCH($B$3,'Data družstev'!$A$1:$HH$1,0)+2)="","",INDEX('Data družstev'!$A$3:$HH$116,50,MATCH($B$3,'Data družstev'!$A$1:$HH$1,0)+2)),"")</f>
        <v/>
      </c>
      <c r="D56" s="53" t="str">
        <f>IFERROR(IF(INDEX('Data družstev'!$A$3:$HH$116,50,MATCH($B$3,'Data družstev'!$A$1:$HH$1,0)+3)="","",INDEX('Data družstev'!$A$3:$HH$116,50,MATCH($B$3,'Data družstev'!$A$1:$HH$1,0)+3)),"")</f>
        <v/>
      </c>
      <c r="E56" s="65" t="str">
        <f>IFERROR(IF(INDEX('Data družstev'!$A$3:$HH$116,50,MATCH($B$3,'Data družstev'!$A$1:$HH$1,0)+4)="","",INDEX('Data družstev'!$A$3:$HH$116,50,MATCH($B$3,'Data družstev'!$A$1:$HH$1,0)+4)),"")</f>
        <v/>
      </c>
      <c r="F56" s="53" t="str">
        <f>IFERROR(IF(INDEX('Data družstev'!$A$3:$HH$116,50,MATCH($B$3,'Data družstev'!$A$1:$HH$1,0)+5)="","",INDEX('Data družstev'!$A$3:$HH$116,50,MATCH($B$3,'Data družstev'!$A$1:$HH$1,0)+5)),"")</f>
        <v/>
      </c>
      <c r="G56" s="53" t="str">
        <f>IFERROR(IF(INDEX('Data družstev'!$A$3:$HH$116,50,MATCH($B$3,'Data družstev'!$A$1:$HH$1,0)+6)="","",INDEX('Data družstev'!$A$3:$HH$116,50,MATCH($B$3,'Data družstev'!$A$1:$HH$1,0)+6)),"")</f>
        <v/>
      </c>
      <c r="H56" s="53" t="str">
        <f>IFERROR(IF(INDEX('Data družstev'!$A$3:$HH$116,50,MATCH($B$3,'Data družstev'!$A$1:$HH$1,0)+7)="","",INDEX('Data družstev'!$A$3:$HH$116,50,MATCH($B$3,'Data družstev'!$A$1:$HH$1,0)+7)),"")</f>
        <v/>
      </c>
      <c r="I56" s="53" t="str">
        <f>IFERROR(IF(INDEX('Data družstev'!$A$3:$HH$116,50,MATCH($B$3,'Data družstev'!$A$1:$HH$1,0)+8)="","",INDEX('Data družstev'!$A$3:$HH$116,50,MATCH($B$3,'Data družstev'!$A$1:$HH$1,0)+8)),"")</f>
        <v/>
      </c>
    </row>
    <row r="57" spans="1:9" ht="27.95" customHeight="1" x14ac:dyDescent="0.2">
      <c r="A57" s="62" t="str">
        <f>IFERROR(IF(INDEX('Data družstev'!$A$3:$HH$116,51,MATCH($B$3,'Data družstev'!$A$1:$HH$1,0)+0)="","",INDEX('Data družstev'!$A$3:$HH$116,51,MATCH($B$3,'Data družstev'!$A$1:$HH$1,0)+0)),"")</f>
        <v/>
      </c>
      <c r="B57" s="53" t="str">
        <f>IFERROR(IF(INDEX('Data družstev'!$A$3:$HH$116,51,MATCH($B$3,'Data družstev'!$A$1:$HH$1,0)+1)="","",INDEX('Data družstev'!$A$3:$HH$116,51,MATCH($B$3,'Data družstev'!$A$1:$HH$1,0)+1)),"")</f>
        <v/>
      </c>
      <c r="C57" s="53" t="str">
        <f>IFERROR(IF(INDEX('Data družstev'!$A$3:$HH$116,51,MATCH($B$3,'Data družstev'!$A$1:$HH$1,0)+2)="","",INDEX('Data družstev'!$A$3:$HH$116,51,MATCH($B$3,'Data družstev'!$A$1:$HH$1,0)+2)),"")</f>
        <v/>
      </c>
      <c r="D57" s="53" t="str">
        <f>IFERROR(IF(INDEX('Data družstev'!$A$3:$HH$116,51,MATCH($B$3,'Data družstev'!$A$1:$HH$1,0)+3)="","",INDEX('Data družstev'!$A$3:$HH$116,51,MATCH($B$3,'Data družstev'!$A$1:$HH$1,0)+3)),"")</f>
        <v/>
      </c>
      <c r="E57" s="65" t="str">
        <f>IFERROR(IF(INDEX('Data družstev'!$A$3:$HH$116,51,MATCH($B$3,'Data družstev'!$A$1:$HH$1,0)+4)="","",INDEX('Data družstev'!$A$3:$HH$116,51,MATCH($B$3,'Data družstev'!$A$1:$HH$1,0)+4)),"")</f>
        <v/>
      </c>
      <c r="F57" s="53" t="str">
        <f>IFERROR(IF(INDEX('Data družstev'!$A$3:$HH$116,51,MATCH($B$3,'Data družstev'!$A$1:$HH$1,0)+5)="","",INDEX('Data družstev'!$A$3:$HH$116,51,MATCH($B$3,'Data družstev'!$A$1:$HH$1,0)+5)),"")</f>
        <v/>
      </c>
      <c r="G57" s="53" t="str">
        <f>IFERROR(IF(INDEX('Data družstev'!$A$3:$HH$116,51,MATCH($B$3,'Data družstev'!$A$1:$HH$1,0)+6)="","",INDEX('Data družstev'!$A$3:$HH$116,51,MATCH($B$3,'Data družstev'!$A$1:$HH$1,0)+6)),"")</f>
        <v/>
      </c>
      <c r="H57" s="53" t="str">
        <f>IFERROR(IF(INDEX('Data družstev'!$A$3:$HH$116,51,MATCH($B$3,'Data družstev'!$A$1:$HH$1,0)+7)="","",INDEX('Data družstev'!$A$3:$HH$116,51,MATCH($B$3,'Data družstev'!$A$1:$HH$1,0)+7)),"")</f>
        <v/>
      </c>
      <c r="I57" s="53" t="str">
        <f>IFERROR(IF(INDEX('Data družstev'!$A$3:$HH$116,51,MATCH($B$3,'Data družstev'!$A$1:$HH$1,0)+8)="","",INDEX('Data družstev'!$A$3:$HH$116,51,MATCH($B$3,'Data družstev'!$A$1:$HH$1,0)+8)),"")</f>
        <v/>
      </c>
    </row>
    <row r="58" spans="1:9" ht="27.95" customHeight="1" x14ac:dyDescent="0.2">
      <c r="A58" s="62" t="str">
        <f>IFERROR(IF(INDEX('Data družstev'!$A$3:$HH$116,52,MATCH($B$3,'Data družstev'!$A$1:$HH$1,0)+0)="","",INDEX('Data družstev'!$A$3:$HH$116,52,MATCH($B$3,'Data družstev'!$A$1:$HH$1,0)+0)),"")</f>
        <v/>
      </c>
      <c r="B58" s="53" t="str">
        <f>IFERROR(IF(INDEX('Data družstev'!$A$3:$HH$116,52,MATCH($B$3,'Data družstev'!$A$1:$HH$1,0)+1)="","",INDEX('Data družstev'!$A$3:$HH$116,52,MATCH($B$3,'Data družstev'!$A$1:$HH$1,0)+1)),"")</f>
        <v/>
      </c>
      <c r="C58" s="53" t="str">
        <f>IFERROR(IF(INDEX('Data družstev'!$A$3:$HH$116,52,MATCH($B$3,'Data družstev'!$A$1:$HH$1,0)+2)="","",INDEX('Data družstev'!$A$3:$HH$116,52,MATCH($B$3,'Data družstev'!$A$1:$HH$1,0)+2)),"")</f>
        <v/>
      </c>
      <c r="D58" s="53" t="str">
        <f>IFERROR(IF(INDEX('Data družstev'!$A$3:$HH$116,52,MATCH($B$3,'Data družstev'!$A$1:$HH$1,0)+3)="","",INDEX('Data družstev'!$A$3:$HH$116,52,MATCH($B$3,'Data družstev'!$A$1:$HH$1,0)+3)),"")</f>
        <v/>
      </c>
      <c r="E58" s="65" t="str">
        <f>IFERROR(IF(INDEX('Data družstev'!$A$3:$HH$116,52,MATCH($B$3,'Data družstev'!$A$1:$HH$1,0)+4)="","",INDEX('Data družstev'!$A$3:$HH$116,52,MATCH($B$3,'Data družstev'!$A$1:$HH$1,0)+4)),"")</f>
        <v/>
      </c>
      <c r="F58" s="53" t="str">
        <f>IFERROR(IF(INDEX('Data družstev'!$A$3:$HH$116,52,MATCH($B$3,'Data družstev'!$A$1:$HH$1,0)+5)="","",INDEX('Data družstev'!$A$3:$HH$116,52,MATCH($B$3,'Data družstev'!$A$1:$HH$1,0)+5)),"")</f>
        <v/>
      </c>
      <c r="G58" s="53" t="str">
        <f>IFERROR(IF(INDEX('Data družstev'!$A$3:$HH$116,52,MATCH($B$3,'Data družstev'!$A$1:$HH$1,0)+6)="","",INDEX('Data družstev'!$A$3:$HH$116,52,MATCH($B$3,'Data družstev'!$A$1:$HH$1,0)+6)),"")</f>
        <v/>
      </c>
      <c r="H58" s="53" t="str">
        <f>IFERROR(IF(INDEX('Data družstev'!$A$3:$HH$116,52,MATCH($B$3,'Data družstev'!$A$1:$HH$1,0)+7)="","",INDEX('Data družstev'!$A$3:$HH$116,52,MATCH($B$3,'Data družstev'!$A$1:$HH$1,0)+7)),"")</f>
        <v/>
      </c>
      <c r="I58" s="53" t="str">
        <f>IFERROR(IF(INDEX('Data družstev'!$A$3:$HH$116,52,MATCH($B$3,'Data družstev'!$A$1:$HH$1,0)+8)="","",INDEX('Data družstev'!$A$3:$HH$116,52,MATCH($B$3,'Data družstev'!$A$1:$HH$1,0)+8)),"")</f>
        <v/>
      </c>
    </row>
    <row r="59" spans="1:9" ht="27.95" customHeight="1" x14ac:dyDescent="0.2">
      <c r="A59" s="62" t="str">
        <f>IFERROR(IF(INDEX('Data družstev'!$A$3:$HH$116,53,MATCH($B$3,'Data družstev'!$A$1:$HH$1,0)+0)="","",INDEX('Data družstev'!$A$3:$HH$116,53,MATCH($B$3,'Data družstev'!$A$1:$HH$1,0)+0)),"")</f>
        <v/>
      </c>
      <c r="B59" s="53" t="str">
        <f>IFERROR(IF(INDEX('Data družstev'!$A$3:$HH$116,53,MATCH($B$3,'Data družstev'!$A$1:$HH$1,0)+1)="","",INDEX('Data družstev'!$A$3:$HH$116,53,MATCH($B$3,'Data družstev'!$A$1:$HH$1,0)+1)),"")</f>
        <v/>
      </c>
      <c r="C59" s="53" t="str">
        <f>IFERROR(IF(INDEX('Data družstev'!$A$3:$HH$116,53,MATCH($B$3,'Data družstev'!$A$1:$HH$1,0)+2)="","",INDEX('Data družstev'!$A$3:$HH$116,53,MATCH($B$3,'Data družstev'!$A$1:$HH$1,0)+2)),"")</f>
        <v/>
      </c>
      <c r="D59" s="53" t="str">
        <f>IFERROR(IF(INDEX('Data družstev'!$A$3:$HH$116,53,MATCH($B$3,'Data družstev'!$A$1:$HH$1,0)+3)="","",INDEX('Data družstev'!$A$3:$HH$116,53,MATCH($B$3,'Data družstev'!$A$1:$HH$1,0)+3)),"")</f>
        <v/>
      </c>
      <c r="E59" s="65" t="str">
        <f>IFERROR(IF(INDEX('Data družstev'!$A$3:$HH$116,53,MATCH($B$3,'Data družstev'!$A$1:$HH$1,0)+4)="","",INDEX('Data družstev'!$A$3:$HH$116,53,MATCH($B$3,'Data družstev'!$A$1:$HH$1,0)+4)),"")</f>
        <v/>
      </c>
      <c r="F59" s="53" t="str">
        <f>IFERROR(IF(INDEX('Data družstev'!$A$3:$HH$116,53,MATCH($B$3,'Data družstev'!$A$1:$HH$1,0)+5)="","",INDEX('Data družstev'!$A$3:$HH$116,53,MATCH($B$3,'Data družstev'!$A$1:$HH$1,0)+5)),"")</f>
        <v/>
      </c>
      <c r="G59" s="53" t="str">
        <f>IFERROR(IF(INDEX('Data družstev'!$A$3:$HH$116,53,MATCH($B$3,'Data družstev'!$A$1:$HH$1,0)+6)="","",INDEX('Data družstev'!$A$3:$HH$116,53,MATCH($B$3,'Data družstev'!$A$1:$HH$1,0)+6)),"")</f>
        <v/>
      </c>
      <c r="H59" s="53" t="str">
        <f>IFERROR(IF(INDEX('Data družstev'!$A$3:$HH$116,53,MATCH($B$3,'Data družstev'!$A$1:$HH$1,0)+7)="","",INDEX('Data družstev'!$A$3:$HH$116,53,MATCH($B$3,'Data družstev'!$A$1:$HH$1,0)+7)),"")</f>
        <v/>
      </c>
      <c r="I59" s="53" t="str">
        <f>IFERROR(IF(INDEX('Data družstev'!$A$3:$HH$116,53,MATCH($B$3,'Data družstev'!$A$1:$HH$1,0)+8)="","",INDEX('Data družstev'!$A$3:$HH$116,53,MATCH($B$3,'Data družstev'!$A$1:$HH$1,0)+8)),"")</f>
        <v/>
      </c>
    </row>
    <row r="60" spans="1:9" ht="27.95" customHeight="1" x14ac:dyDescent="0.2">
      <c r="A60" s="62" t="str">
        <f>IFERROR(IF(INDEX('Data družstev'!$A$3:$HH$116,54,MATCH($B$3,'Data družstev'!$A$1:$HH$1,0)+0)="","",INDEX('Data družstev'!$A$3:$HH$116,54,MATCH($B$3,'Data družstev'!$A$1:$HH$1,0)+0)),"")</f>
        <v/>
      </c>
      <c r="B60" s="53" t="str">
        <f>IFERROR(IF(INDEX('Data družstev'!$A$3:$HH$116,54,MATCH($B$3,'Data družstev'!$A$1:$HH$1,0)+1)="","",INDEX('Data družstev'!$A$3:$HH$116,54,MATCH($B$3,'Data družstev'!$A$1:$HH$1,0)+1)),"")</f>
        <v/>
      </c>
      <c r="C60" s="53" t="str">
        <f>IFERROR(IF(INDEX('Data družstev'!$A$3:$HH$116,54,MATCH($B$3,'Data družstev'!$A$1:$HH$1,0)+2)="","",INDEX('Data družstev'!$A$3:$HH$116,54,MATCH($B$3,'Data družstev'!$A$1:$HH$1,0)+2)),"")</f>
        <v/>
      </c>
      <c r="D60" s="53" t="str">
        <f>IFERROR(IF(INDEX('Data družstev'!$A$3:$HH$116,54,MATCH($B$3,'Data družstev'!$A$1:$HH$1,0)+3)="","",INDEX('Data družstev'!$A$3:$HH$116,54,MATCH($B$3,'Data družstev'!$A$1:$HH$1,0)+3)),"")</f>
        <v/>
      </c>
      <c r="E60" s="65" t="str">
        <f>IFERROR(IF(INDEX('Data družstev'!$A$3:$HH$116,54,MATCH($B$3,'Data družstev'!$A$1:$HH$1,0)+4)="","",INDEX('Data družstev'!$A$3:$HH$116,54,MATCH($B$3,'Data družstev'!$A$1:$HH$1,0)+4)),"")</f>
        <v/>
      </c>
      <c r="F60" s="53" t="str">
        <f>IFERROR(IF(INDEX('Data družstev'!$A$3:$HH$116,54,MATCH($B$3,'Data družstev'!$A$1:$HH$1,0)+5)="","",INDEX('Data družstev'!$A$3:$HH$116,54,MATCH($B$3,'Data družstev'!$A$1:$HH$1,0)+5)),"")</f>
        <v/>
      </c>
      <c r="G60" s="53" t="str">
        <f>IFERROR(IF(INDEX('Data družstev'!$A$3:$HH$116,54,MATCH($B$3,'Data družstev'!$A$1:$HH$1,0)+6)="","",INDEX('Data družstev'!$A$3:$HH$116,54,MATCH($B$3,'Data družstev'!$A$1:$HH$1,0)+6)),"")</f>
        <v/>
      </c>
      <c r="H60" s="53" t="str">
        <f>IFERROR(IF(INDEX('Data družstev'!$A$3:$HH$116,54,MATCH($B$3,'Data družstev'!$A$1:$HH$1,0)+7)="","",INDEX('Data družstev'!$A$3:$HH$116,54,MATCH($B$3,'Data družstev'!$A$1:$HH$1,0)+7)),"")</f>
        <v/>
      </c>
      <c r="I60" s="53" t="str">
        <f>IFERROR(IF(INDEX('Data družstev'!$A$3:$HH$116,54,MATCH($B$3,'Data družstev'!$A$1:$HH$1,0)+8)="","",INDEX('Data družstev'!$A$3:$HH$116,54,MATCH($B$3,'Data družstev'!$A$1:$HH$1,0)+8)),"")</f>
        <v/>
      </c>
    </row>
    <row r="61" spans="1:9" ht="27.95" customHeight="1" x14ac:dyDescent="0.2">
      <c r="A61" s="62" t="str">
        <f>IFERROR(IF(INDEX('Data družstev'!$A$3:$HH$116,55,MATCH($B$3,'Data družstev'!$A$1:$HH$1,0)+0)="","",INDEX('Data družstev'!$A$3:$HH$116,55,MATCH($B$3,'Data družstev'!$A$1:$HH$1,0)+0)),"")</f>
        <v/>
      </c>
      <c r="B61" s="53" t="str">
        <f>IFERROR(IF(INDEX('Data družstev'!$A$3:$HH$116,55,MATCH($B$3,'Data družstev'!$A$1:$HH$1,0)+1)="","",INDEX('Data družstev'!$A$3:$HH$116,55,MATCH($B$3,'Data družstev'!$A$1:$HH$1,0)+1)),"")</f>
        <v/>
      </c>
      <c r="C61" s="53" t="str">
        <f>IFERROR(IF(INDEX('Data družstev'!$A$3:$HH$116,55,MATCH($B$3,'Data družstev'!$A$1:$HH$1,0)+2)="","",INDEX('Data družstev'!$A$3:$HH$116,55,MATCH($B$3,'Data družstev'!$A$1:$HH$1,0)+2)),"")</f>
        <v/>
      </c>
      <c r="D61" s="53" t="str">
        <f>IFERROR(IF(INDEX('Data družstev'!$A$3:$HH$116,55,MATCH($B$3,'Data družstev'!$A$1:$HH$1,0)+3)="","",INDEX('Data družstev'!$A$3:$HH$116,55,MATCH($B$3,'Data družstev'!$A$1:$HH$1,0)+3)),"")</f>
        <v/>
      </c>
      <c r="E61" s="65" t="str">
        <f>IFERROR(IF(INDEX('Data družstev'!$A$3:$HH$116,55,MATCH($B$3,'Data družstev'!$A$1:$HH$1,0)+4)="","",INDEX('Data družstev'!$A$3:$HH$116,55,MATCH($B$3,'Data družstev'!$A$1:$HH$1,0)+4)),"")</f>
        <v/>
      </c>
      <c r="F61" s="53" t="str">
        <f>IFERROR(IF(INDEX('Data družstev'!$A$3:$HH$116,55,MATCH($B$3,'Data družstev'!$A$1:$HH$1,0)+5)="","",INDEX('Data družstev'!$A$3:$HH$116,55,MATCH($B$3,'Data družstev'!$A$1:$HH$1,0)+5)),"")</f>
        <v/>
      </c>
      <c r="G61" s="53" t="str">
        <f>IFERROR(IF(INDEX('Data družstev'!$A$3:$HH$116,55,MATCH($B$3,'Data družstev'!$A$1:$HH$1,0)+6)="","",INDEX('Data družstev'!$A$3:$HH$116,55,MATCH($B$3,'Data družstev'!$A$1:$HH$1,0)+6)),"")</f>
        <v/>
      </c>
      <c r="H61" s="53" t="str">
        <f>IFERROR(IF(INDEX('Data družstev'!$A$3:$HH$116,55,MATCH($B$3,'Data družstev'!$A$1:$HH$1,0)+7)="","",INDEX('Data družstev'!$A$3:$HH$116,55,MATCH($B$3,'Data družstev'!$A$1:$HH$1,0)+7)),"")</f>
        <v/>
      </c>
      <c r="I61" s="53" t="str">
        <f>IFERROR(IF(INDEX('Data družstev'!$A$3:$HH$116,55,MATCH($B$3,'Data družstev'!$A$1:$HH$1,0)+8)="","",INDEX('Data družstev'!$A$3:$HH$116,55,MATCH($B$3,'Data družstev'!$A$1:$HH$1,0)+8)),"")</f>
        <v/>
      </c>
    </row>
    <row r="62" spans="1:9" ht="27.95" customHeight="1" x14ac:dyDescent="0.2">
      <c r="A62" s="62" t="str">
        <f>IFERROR(IF(INDEX('Data družstev'!$A$3:$HH$116,56,MATCH($B$3,'Data družstev'!$A$1:$HH$1,0)+0)="","",INDEX('Data družstev'!$A$3:$HH$116,56,MATCH($B$3,'Data družstev'!$A$1:$HH$1,0)+0)),"")</f>
        <v/>
      </c>
      <c r="B62" s="53" t="str">
        <f>IFERROR(IF(INDEX('Data družstev'!$A$3:$HH$116,56,MATCH($B$3,'Data družstev'!$A$1:$HH$1,0)+1)="","",INDEX('Data družstev'!$A$3:$HH$116,56,MATCH($B$3,'Data družstev'!$A$1:$HH$1,0)+1)),"")</f>
        <v/>
      </c>
      <c r="C62" s="53" t="str">
        <f>IFERROR(IF(INDEX('Data družstev'!$A$3:$HH$116,56,MATCH($B$3,'Data družstev'!$A$1:$HH$1,0)+2)="","",INDEX('Data družstev'!$A$3:$HH$116,56,MATCH($B$3,'Data družstev'!$A$1:$HH$1,0)+2)),"")</f>
        <v/>
      </c>
      <c r="D62" s="53" t="str">
        <f>IFERROR(IF(INDEX('Data družstev'!$A$3:$HH$116,56,MATCH($B$3,'Data družstev'!$A$1:$HH$1,0)+3)="","",INDEX('Data družstev'!$A$3:$HH$116,56,MATCH($B$3,'Data družstev'!$A$1:$HH$1,0)+3)),"")</f>
        <v/>
      </c>
      <c r="E62" s="65" t="str">
        <f>IFERROR(IF(INDEX('Data družstev'!$A$3:$HH$116,56,MATCH($B$3,'Data družstev'!$A$1:$HH$1,0)+4)="","",INDEX('Data družstev'!$A$3:$HH$116,56,MATCH($B$3,'Data družstev'!$A$1:$HH$1,0)+4)),"")</f>
        <v/>
      </c>
      <c r="F62" s="53" t="str">
        <f>IFERROR(IF(INDEX('Data družstev'!$A$3:$HH$116,56,MATCH($B$3,'Data družstev'!$A$1:$HH$1,0)+5)="","",INDEX('Data družstev'!$A$3:$HH$116,56,MATCH($B$3,'Data družstev'!$A$1:$HH$1,0)+5)),"")</f>
        <v/>
      </c>
      <c r="G62" s="53" t="str">
        <f>IFERROR(IF(INDEX('Data družstev'!$A$3:$HH$116,56,MATCH($B$3,'Data družstev'!$A$1:$HH$1,0)+6)="","",INDEX('Data družstev'!$A$3:$HH$116,56,MATCH($B$3,'Data družstev'!$A$1:$HH$1,0)+6)),"")</f>
        <v/>
      </c>
      <c r="H62" s="53" t="str">
        <f>IFERROR(IF(INDEX('Data družstev'!$A$3:$HH$116,56,MATCH($B$3,'Data družstev'!$A$1:$HH$1,0)+7)="","",INDEX('Data družstev'!$A$3:$HH$116,56,MATCH($B$3,'Data družstev'!$A$1:$HH$1,0)+7)),"")</f>
        <v/>
      </c>
      <c r="I62" s="53" t="str">
        <f>IFERROR(IF(INDEX('Data družstev'!$A$3:$HH$116,56,MATCH($B$3,'Data družstev'!$A$1:$HH$1,0)+8)="","",INDEX('Data družstev'!$A$3:$HH$116,56,MATCH($B$3,'Data družstev'!$A$1:$HH$1,0)+8)),"")</f>
        <v/>
      </c>
    </row>
    <row r="63" spans="1:9" ht="27.95" customHeight="1" x14ac:dyDescent="0.2">
      <c r="A63" s="62" t="str">
        <f>IFERROR(IF(INDEX('Data družstev'!$A$3:$HH$116,57,MATCH($B$3,'Data družstev'!$A$1:$HH$1,0)+0)="","",INDEX('Data družstev'!$A$3:$HH$116,57,MATCH($B$3,'Data družstev'!$A$1:$HH$1,0)+0)),"")</f>
        <v/>
      </c>
      <c r="B63" s="53" t="str">
        <f>IFERROR(IF(INDEX('Data družstev'!$A$3:$HH$116,57,MATCH($B$3,'Data družstev'!$A$1:$HH$1,0)+1)="","",INDEX('Data družstev'!$A$3:$HH$116,57,MATCH($B$3,'Data družstev'!$A$1:$HH$1,0)+1)),"")</f>
        <v/>
      </c>
      <c r="C63" s="53" t="str">
        <f>IFERROR(IF(INDEX('Data družstev'!$A$3:$HH$116,57,MATCH($B$3,'Data družstev'!$A$1:$HH$1,0)+2)="","",INDEX('Data družstev'!$A$3:$HH$116,57,MATCH($B$3,'Data družstev'!$A$1:$HH$1,0)+2)),"")</f>
        <v/>
      </c>
      <c r="D63" s="53" t="str">
        <f>IFERROR(IF(INDEX('Data družstev'!$A$3:$HH$116,57,MATCH($B$3,'Data družstev'!$A$1:$HH$1,0)+3)="","",INDEX('Data družstev'!$A$3:$HH$116,57,MATCH($B$3,'Data družstev'!$A$1:$HH$1,0)+3)),"")</f>
        <v/>
      </c>
      <c r="E63" s="65" t="str">
        <f>IFERROR(IF(INDEX('Data družstev'!$A$3:$HH$116,57,MATCH($B$3,'Data družstev'!$A$1:$HH$1,0)+4)="","",INDEX('Data družstev'!$A$3:$HH$116,57,MATCH($B$3,'Data družstev'!$A$1:$HH$1,0)+4)),"")</f>
        <v/>
      </c>
      <c r="F63" s="53" t="str">
        <f>IFERROR(IF(INDEX('Data družstev'!$A$3:$HH$116,57,MATCH($B$3,'Data družstev'!$A$1:$HH$1,0)+5)="","",INDEX('Data družstev'!$A$3:$HH$116,57,MATCH($B$3,'Data družstev'!$A$1:$HH$1,0)+5)),"")</f>
        <v/>
      </c>
      <c r="G63" s="53" t="str">
        <f>IFERROR(IF(INDEX('Data družstev'!$A$3:$HH$116,57,MATCH($B$3,'Data družstev'!$A$1:$HH$1,0)+6)="","",INDEX('Data družstev'!$A$3:$HH$116,57,MATCH($B$3,'Data družstev'!$A$1:$HH$1,0)+6)),"")</f>
        <v/>
      </c>
      <c r="H63" s="53" t="str">
        <f>IFERROR(IF(INDEX('Data družstev'!$A$3:$HH$116,57,MATCH($B$3,'Data družstev'!$A$1:$HH$1,0)+7)="","",INDEX('Data družstev'!$A$3:$HH$116,57,MATCH($B$3,'Data družstev'!$A$1:$HH$1,0)+7)),"")</f>
        <v/>
      </c>
      <c r="I63" s="53" t="str">
        <f>IFERROR(IF(INDEX('Data družstev'!$A$3:$HH$116,57,MATCH($B$3,'Data družstev'!$A$1:$HH$1,0)+8)="","",INDEX('Data družstev'!$A$3:$HH$116,57,MATCH($B$3,'Data družstev'!$A$1:$HH$1,0)+8)),"")</f>
        <v/>
      </c>
    </row>
    <row r="64" spans="1:9" ht="27.95" customHeight="1" x14ac:dyDescent="0.2">
      <c r="A64" s="62" t="str">
        <f>IFERROR(IF(INDEX('Data družstev'!$A$3:$HH$116,58,MATCH($B$3,'Data družstev'!$A$1:$HH$1,0)+0)="","",INDEX('Data družstev'!$A$3:$HH$116,58,MATCH($B$3,'Data družstev'!$A$1:$HH$1,0)+0)),"")</f>
        <v/>
      </c>
      <c r="B64" s="53" t="str">
        <f>IFERROR(IF(INDEX('Data družstev'!$A$3:$HH$116,58,MATCH($B$3,'Data družstev'!$A$1:$HH$1,0)+1)="","",INDEX('Data družstev'!$A$3:$HH$116,58,MATCH($B$3,'Data družstev'!$A$1:$HH$1,0)+1)),"")</f>
        <v/>
      </c>
      <c r="C64" s="53" t="str">
        <f>IFERROR(IF(INDEX('Data družstev'!$A$3:$HH$116,58,MATCH($B$3,'Data družstev'!$A$1:$HH$1,0)+2)="","",INDEX('Data družstev'!$A$3:$HH$116,58,MATCH($B$3,'Data družstev'!$A$1:$HH$1,0)+2)),"")</f>
        <v/>
      </c>
      <c r="D64" s="53" t="str">
        <f>IFERROR(IF(INDEX('Data družstev'!$A$3:$HH$116,58,MATCH($B$3,'Data družstev'!$A$1:$HH$1,0)+3)="","",INDEX('Data družstev'!$A$3:$HH$116,58,MATCH($B$3,'Data družstev'!$A$1:$HH$1,0)+3)),"")</f>
        <v/>
      </c>
      <c r="E64" s="65" t="str">
        <f>IFERROR(IF(INDEX('Data družstev'!$A$3:$HH$116,58,MATCH($B$3,'Data družstev'!$A$1:$HH$1,0)+4)="","",INDEX('Data družstev'!$A$3:$HH$116,58,MATCH($B$3,'Data družstev'!$A$1:$HH$1,0)+4)),"")</f>
        <v/>
      </c>
      <c r="F64" s="53" t="str">
        <f>IFERROR(IF(INDEX('Data družstev'!$A$3:$HH$116,58,MATCH($B$3,'Data družstev'!$A$1:$HH$1,0)+5)="","",INDEX('Data družstev'!$A$3:$HH$116,58,MATCH($B$3,'Data družstev'!$A$1:$HH$1,0)+5)),"")</f>
        <v/>
      </c>
      <c r="G64" s="53" t="str">
        <f>IFERROR(IF(INDEX('Data družstev'!$A$3:$HH$116,58,MATCH($B$3,'Data družstev'!$A$1:$HH$1,0)+6)="","",INDEX('Data družstev'!$A$3:$HH$116,58,MATCH($B$3,'Data družstev'!$A$1:$HH$1,0)+6)),"")</f>
        <v/>
      </c>
      <c r="H64" s="53" t="str">
        <f>IFERROR(IF(INDEX('Data družstev'!$A$3:$HH$116,58,MATCH($B$3,'Data družstev'!$A$1:$HH$1,0)+7)="","",INDEX('Data družstev'!$A$3:$HH$116,58,MATCH($B$3,'Data družstev'!$A$1:$HH$1,0)+7)),"")</f>
        <v/>
      </c>
      <c r="I64" s="53" t="str">
        <f>IFERROR(IF(INDEX('Data družstev'!$A$3:$HH$116,58,MATCH($B$3,'Data družstev'!$A$1:$HH$1,0)+8)="","",INDEX('Data družstev'!$A$3:$HH$116,58,MATCH($B$3,'Data družstev'!$A$1:$HH$1,0)+8)),"")</f>
        <v/>
      </c>
    </row>
    <row r="65" spans="1:9" ht="27.95" customHeight="1" x14ac:dyDescent="0.2">
      <c r="A65" s="62" t="str">
        <f>IFERROR(IF(INDEX('Data družstev'!$A$3:$HH$116,59,MATCH($B$3,'Data družstev'!$A$1:$HH$1,0)+0)="","",INDEX('Data družstev'!$A$3:$HH$116,59,MATCH($B$3,'Data družstev'!$A$1:$HH$1,0)+0)),"")</f>
        <v/>
      </c>
      <c r="B65" s="53" t="str">
        <f>IFERROR(IF(INDEX('Data družstev'!$A$3:$HH$116,59,MATCH($B$3,'Data družstev'!$A$1:$HH$1,0)+1)="","",INDEX('Data družstev'!$A$3:$HH$116,59,MATCH($B$3,'Data družstev'!$A$1:$HH$1,0)+1)),"")</f>
        <v/>
      </c>
      <c r="C65" s="53" t="str">
        <f>IFERROR(IF(INDEX('Data družstev'!$A$3:$HH$116,59,MATCH($B$3,'Data družstev'!$A$1:$HH$1,0)+2)="","",INDEX('Data družstev'!$A$3:$HH$116,59,MATCH($B$3,'Data družstev'!$A$1:$HH$1,0)+2)),"")</f>
        <v/>
      </c>
      <c r="D65" s="53" t="str">
        <f>IFERROR(IF(INDEX('Data družstev'!$A$3:$HH$116,59,MATCH($B$3,'Data družstev'!$A$1:$HH$1,0)+3)="","",INDEX('Data družstev'!$A$3:$HH$116,59,MATCH($B$3,'Data družstev'!$A$1:$HH$1,0)+3)),"")</f>
        <v/>
      </c>
      <c r="E65" s="65" t="str">
        <f>IFERROR(IF(INDEX('Data družstev'!$A$3:$HH$116,59,MATCH($B$3,'Data družstev'!$A$1:$HH$1,0)+4)="","",INDEX('Data družstev'!$A$3:$HH$116,59,MATCH($B$3,'Data družstev'!$A$1:$HH$1,0)+4)),"")</f>
        <v/>
      </c>
      <c r="F65" s="53" t="str">
        <f>IFERROR(IF(INDEX('Data družstev'!$A$3:$HH$116,59,MATCH($B$3,'Data družstev'!$A$1:$HH$1,0)+5)="","",INDEX('Data družstev'!$A$3:$HH$116,59,MATCH($B$3,'Data družstev'!$A$1:$HH$1,0)+5)),"")</f>
        <v/>
      </c>
      <c r="G65" s="53" t="str">
        <f>IFERROR(IF(INDEX('Data družstev'!$A$3:$HH$116,59,MATCH($B$3,'Data družstev'!$A$1:$HH$1,0)+6)="","",INDEX('Data družstev'!$A$3:$HH$116,59,MATCH($B$3,'Data družstev'!$A$1:$HH$1,0)+6)),"")</f>
        <v/>
      </c>
      <c r="H65" s="53" t="str">
        <f>IFERROR(IF(INDEX('Data družstev'!$A$3:$HH$116,59,MATCH($B$3,'Data družstev'!$A$1:$HH$1,0)+7)="","",INDEX('Data družstev'!$A$3:$HH$116,59,MATCH($B$3,'Data družstev'!$A$1:$HH$1,0)+7)),"")</f>
        <v/>
      </c>
      <c r="I65" s="53" t="str">
        <f>IFERROR(IF(INDEX('Data družstev'!$A$3:$HH$116,59,MATCH($B$3,'Data družstev'!$A$1:$HH$1,0)+8)="","",INDEX('Data družstev'!$A$3:$HH$116,59,MATCH($B$3,'Data družstev'!$A$1:$HH$1,0)+8)),"")</f>
        <v/>
      </c>
    </row>
    <row r="66" spans="1:9" ht="27.95" customHeight="1" x14ac:dyDescent="0.2">
      <c r="A66" s="62" t="str">
        <f>IFERROR(IF(INDEX('Data družstev'!$A$3:$HH$116,60,MATCH($B$3,'Data družstev'!$A$1:$HH$1,0)+0)="","",INDEX('Data družstev'!$A$3:$HH$116,60,MATCH($B$3,'Data družstev'!$A$1:$HH$1,0)+0)),"")</f>
        <v/>
      </c>
      <c r="B66" s="53" t="str">
        <f>IFERROR(IF(INDEX('Data družstev'!$A$3:$HH$116,60,MATCH($B$3,'Data družstev'!$A$1:$HH$1,0)+1)="","",INDEX('Data družstev'!$A$3:$HH$116,60,MATCH($B$3,'Data družstev'!$A$1:$HH$1,0)+1)),"")</f>
        <v/>
      </c>
      <c r="C66" s="53" t="str">
        <f>IFERROR(IF(INDEX('Data družstev'!$A$3:$HH$116,60,MATCH($B$3,'Data družstev'!$A$1:$HH$1,0)+2)="","",INDEX('Data družstev'!$A$3:$HH$116,60,MATCH($B$3,'Data družstev'!$A$1:$HH$1,0)+2)),"")</f>
        <v/>
      </c>
      <c r="D66" s="53" t="str">
        <f>IFERROR(IF(INDEX('Data družstev'!$A$3:$HH$116,60,MATCH($B$3,'Data družstev'!$A$1:$HH$1,0)+3)="","",INDEX('Data družstev'!$A$3:$HH$116,60,MATCH($B$3,'Data družstev'!$A$1:$HH$1,0)+3)),"")</f>
        <v/>
      </c>
      <c r="E66" s="65" t="str">
        <f>IFERROR(IF(INDEX('Data družstev'!$A$3:$HH$116,60,MATCH($B$3,'Data družstev'!$A$1:$HH$1,0)+4)="","",INDEX('Data družstev'!$A$3:$HH$116,60,MATCH($B$3,'Data družstev'!$A$1:$HH$1,0)+4)),"")</f>
        <v/>
      </c>
      <c r="F66" s="53" t="str">
        <f>IFERROR(IF(INDEX('Data družstev'!$A$3:$HH$116,60,MATCH($B$3,'Data družstev'!$A$1:$HH$1,0)+5)="","",INDEX('Data družstev'!$A$3:$HH$116,60,MATCH($B$3,'Data družstev'!$A$1:$HH$1,0)+5)),"")</f>
        <v/>
      </c>
      <c r="G66" s="53" t="str">
        <f>IFERROR(IF(INDEX('Data družstev'!$A$3:$HH$116,60,MATCH($B$3,'Data družstev'!$A$1:$HH$1,0)+6)="","",INDEX('Data družstev'!$A$3:$HH$116,60,MATCH($B$3,'Data družstev'!$A$1:$HH$1,0)+6)),"")</f>
        <v/>
      </c>
      <c r="H66" s="53" t="str">
        <f>IFERROR(IF(INDEX('Data družstev'!$A$3:$HH$116,60,MATCH($B$3,'Data družstev'!$A$1:$HH$1,0)+7)="","",INDEX('Data družstev'!$A$3:$HH$116,60,MATCH($B$3,'Data družstev'!$A$1:$HH$1,0)+7)),"")</f>
        <v/>
      </c>
      <c r="I66" s="53" t="str">
        <f>IFERROR(IF(INDEX('Data družstev'!$A$3:$HH$116,60,MATCH($B$3,'Data družstev'!$A$1:$HH$1,0)+8)="","",INDEX('Data družstev'!$A$3:$HH$116,60,MATCH($B$3,'Data družstev'!$A$1:$HH$1,0)+8)),"")</f>
        <v/>
      </c>
    </row>
    <row r="67" spans="1:9" ht="27.95" customHeight="1" x14ac:dyDescent="0.2">
      <c r="A67" s="62" t="str">
        <f>IFERROR(IF(INDEX('Data družstev'!$A$3:$HH$116,61,MATCH($B$3,'Data družstev'!$A$1:$HH$1,0)+0)="","",INDEX('Data družstev'!$A$3:$HH$116,61,MATCH($B$3,'Data družstev'!$A$1:$HH$1,0)+0)),"")</f>
        <v/>
      </c>
      <c r="B67" s="53" t="str">
        <f>IFERROR(IF(INDEX('Data družstev'!$A$3:$HH$116,61,MATCH($B$3,'Data družstev'!$A$1:$HH$1,0)+1)="","",INDEX('Data družstev'!$A$3:$HH$116,61,MATCH($B$3,'Data družstev'!$A$1:$HH$1,0)+1)),"")</f>
        <v/>
      </c>
      <c r="C67" s="53" t="str">
        <f>IFERROR(IF(INDEX('Data družstev'!$A$3:$HH$116,61,MATCH($B$3,'Data družstev'!$A$1:$HH$1,0)+2)="","",INDEX('Data družstev'!$A$3:$HH$116,61,MATCH($B$3,'Data družstev'!$A$1:$HH$1,0)+2)),"")</f>
        <v/>
      </c>
      <c r="D67" s="53" t="str">
        <f>IFERROR(IF(INDEX('Data družstev'!$A$3:$HH$116,61,MATCH($B$3,'Data družstev'!$A$1:$HH$1,0)+3)="","",INDEX('Data družstev'!$A$3:$HH$116,61,MATCH($B$3,'Data družstev'!$A$1:$HH$1,0)+3)),"")</f>
        <v/>
      </c>
      <c r="E67" s="65" t="str">
        <f>IFERROR(IF(INDEX('Data družstev'!$A$3:$HH$116,61,MATCH($B$3,'Data družstev'!$A$1:$HH$1,0)+4)="","",INDEX('Data družstev'!$A$3:$HH$116,61,MATCH($B$3,'Data družstev'!$A$1:$HH$1,0)+4)),"")</f>
        <v/>
      </c>
      <c r="F67" s="53" t="str">
        <f>IFERROR(IF(INDEX('Data družstev'!$A$3:$HH$116,61,MATCH($B$3,'Data družstev'!$A$1:$HH$1,0)+5)="","",INDEX('Data družstev'!$A$3:$HH$116,61,MATCH($B$3,'Data družstev'!$A$1:$HH$1,0)+5)),"")</f>
        <v/>
      </c>
      <c r="G67" s="53" t="str">
        <f>IFERROR(IF(INDEX('Data družstev'!$A$3:$HH$116,61,MATCH($B$3,'Data družstev'!$A$1:$HH$1,0)+6)="","",INDEX('Data družstev'!$A$3:$HH$116,61,MATCH($B$3,'Data družstev'!$A$1:$HH$1,0)+6)),"")</f>
        <v/>
      </c>
      <c r="H67" s="53" t="str">
        <f>IFERROR(IF(INDEX('Data družstev'!$A$3:$HH$116,61,MATCH($B$3,'Data družstev'!$A$1:$HH$1,0)+7)="","",INDEX('Data družstev'!$A$3:$HH$116,61,MATCH($B$3,'Data družstev'!$A$1:$HH$1,0)+7)),"")</f>
        <v/>
      </c>
      <c r="I67" s="53" t="str">
        <f>IFERROR(IF(INDEX('Data družstev'!$A$3:$HH$116,61,MATCH($B$3,'Data družstev'!$A$1:$HH$1,0)+8)="","",INDEX('Data družstev'!$A$3:$HH$116,61,MATCH($B$3,'Data družstev'!$A$1:$HH$1,0)+8)),"")</f>
        <v/>
      </c>
    </row>
    <row r="68" spans="1:9" ht="27.95" customHeight="1" x14ac:dyDescent="0.2">
      <c r="A68" s="62" t="str">
        <f>IFERROR(IF(INDEX('Data družstev'!$A$3:$HH$116,62,MATCH($B$3,'Data družstev'!$A$1:$HH$1,0)+0)="","",INDEX('Data družstev'!$A$3:$HH$116,62,MATCH($B$3,'Data družstev'!$A$1:$HH$1,0)+0)),"")</f>
        <v/>
      </c>
      <c r="B68" s="53" t="str">
        <f>IFERROR(IF(INDEX('Data družstev'!$A$3:$HH$116,62,MATCH($B$3,'Data družstev'!$A$1:$HH$1,0)+1)="","",INDEX('Data družstev'!$A$3:$HH$116,62,MATCH($B$3,'Data družstev'!$A$1:$HH$1,0)+1)),"")</f>
        <v/>
      </c>
      <c r="C68" s="53" t="str">
        <f>IFERROR(IF(INDEX('Data družstev'!$A$3:$HH$116,62,MATCH($B$3,'Data družstev'!$A$1:$HH$1,0)+2)="","",INDEX('Data družstev'!$A$3:$HH$116,62,MATCH($B$3,'Data družstev'!$A$1:$HH$1,0)+2)),"")</f>
        <v/>
      </c>
      <c r="D68" s="53" t="str">
        <f>IFERROR(IF(INDEX('Data družstev'!$A$3:$HH$116,62,MATCH($B$3,'Data družstev'!$A$1:$HH$1,0)+3)="","",INDEX('Data družstev'!$A$3:$HH$116,62,MATCH($B$3,'Data družstev'!$A$1:$HH$1,0)+3)),"")</f>
        <v/>
      </c>
      <c r="E68" s="65" t="str">
        <f>IFERROR(IF(INDEX('Data družstev'!$A$3:$HH$116,62,MATCH($B$3,'Data družstev'!$A$1:$HH$1,0)+4)="","",INDEX('Data družstev'!$A$3:$HH$116,62,MATCH($B$3,'Data družstev'!$A$1:$HH$1,0)+4)),"")</f>
        <v/>
      </c>
      <c r="F68" s="53" t="str">
        <f>IFERROR(IF(INDEX('Data družstev'!$A$3:$HH$116,62,MATCH($B$3,'Data družstev'!$A$1:$HH$1,0)+5)="","",INDEX('Data družstev'!$A$3:$HH$116,62,MATCH($B$3,'Data družstev'!$A$1:$HH$1,0)+5)),"")</f>
        <v/>
      </c>
      <c r="G68" s="53" t="str">
        <f>IFERROR(IF(INDEX('Data družstev'!$A$3:$HH$116,62,MATCH($B$3,'Data družstev'!$A$1:$HH$1,0)+6)="","",INDEX('Data družstev'!$A$3:$HH$116,62,MATCH($B$3,'Data družstev'!$A$1:$HH$1,0)+6)),"")</f>
        <v/>
      </c>
      <c r="H68" s="53" t="str">
        <f>IFERROR(IF(INDEX('Data družstev'!$A$3:$HH$116,62,MATCH($B$3,'Data družstev'!$A$1:$HH$1,0)+7)="","",INDEX('Data družstev'!$A$3:$HH$116,62,MATCH($B$3,'Data družstev'!$A$1:$HH$1,0)+7)),"")</f>
        <v/>
      </c>
      <c r="I68" s="53" t="str">
        <f>IFERROR(IF(INDEX('Data družstev'!$A$3:$HH$116,62,MATCH($B$3,'Data družstev'!$A$1:$HH$1,0)+8)="","",INDEX('Data družstev'!$A$3:$HH$116,62,MATCH($B$3,'Data družstev'!$A$1:$HH$1,0)+8)),"")</f>
        <v/>
      </c>
    </row>
    <row r="69" spans="1:9" ht="27.95" customHeight="1" x14ac:dyDescent="0.2">
      <c r="A69" s="62" t="str">
        <f>IFERROR(IF(INDEX('Data družstev'!$A$3:$HH$116,63,MATCH($B$3,'Data družstev'!$A$1:$HH$1,0)+0)="","",INDEX('Data družstev'!$A$3:$HH$116,63,MATCH($B$3,'Data družstev'!$A$1:$HH$1,0)+0)),"")</f>
        <v/>
      </c>
      <c r="B69" s="53" t="str">
        <f>IFERROR(IF(INDEX('Data družstev'!$A$3:$HH$116,63,MATCH($B$3,'Data družstev'!$A$1:$HH$1,0)+1)="","",INDEX('Data družstev'!$A$3:$HH$116,63,MATCH($B$3,'Data družstev'!$A$1:$HH$1,0)+1)),"")</f>
        <v/>
      </c>
      <c r="C69" s="53" t="str">
        <f>IFERROR(IF(INDEX('Data družstev'!$A$3:$HH$116,63,MATCH($B$3,'Data družstev'!$A$1:$HH$1,0)+2)="","",INDEX('Data družstev'!$A$3:$HH$116,63,MATCH($B$3,'Data družstev'!$A$1:$HH$1,0)+2)),"")</f>
        <v/>
      </c>
      <c r="D69" s="53" t="str">
        <f>IFERROR(IF(INDEX('Data družstev'!$A$3:$HH$116,63,MATCH($B$3,'Data družstev'!$A$1:$HH$1,0)+3)="","",INDEX('Data družstev'!$A$3:$HH$116,63,MATCH($B$3,'Data družstev'!$A$1:$HH$1,0)+3)),"")</f>
        <v/>
      </c>
      <c r="E69" s="65" t="str">
        <f>IFERROR(IF(INDEX('Data družstev'!$A$3:$HH$116,63,MATCH($B$3,'Data družstev'!$A$1:$HH$1,0)+4)="","",INDEX('Data družstev'!$A$3:$HH$116,63,MATCH($B$3,'Data družstev'!$A$1:$HH$1,0)+4)),"")</f>
        <v/>
      </c>
      <c r="F69" s="53" t="str">
        <f>IFERROR(IF(INDEX('Data družstev'!$A$3:$HH$116,63,MATCH($B$3,'Data družstev'!$A$1:$HH$1,0)+5)="","",INDEX('Data družstev'!$A$3:$HH$116,63,MATCH($B$3,'Data družstev'!$A$1:$HH$1,0)+5)),"")</f>
        <v/>
      </c>
      <c r="G69" s="53" t="str">
        <f>IFERROR(IF(INDEX('Data družstev'!$A$3:$HH$116,63,MATCH($B$3,'Data družstev'!$A$1:$HH$1,0)+6)="","",INDEX('Data družstev'!$A$3:$HH$116,63,MATCH($B$3,'Data družstev'!$A$1:$HH$1,0)+6)),"")</f>
        <v/>
      </c>
      <c r="H69" s="53" t="str">
        <f>IFERROR(IF(INDEX('Data družstev'!$A$3:$HH$116,63,MATCH($B$3,'Data družstev'!$A$1:$HH$1,0)+7)="","",INDEX('Data družstev'!$A$3:$HH$116,63,MATCH($B$3,'Data družstev'!$A$1:$HH$1,0)+7)),"")</f>
        <v/>
      </c>
      <c r="I69" s="53" t="str">
        <f>IFERROR(IF(INDEX('Data družstev'!$A$3:$HH$116,63,MATCH($B$3,'Data družstev'!$A$1:$HH$1,0)+8)="","",INDEX('Data družstev'!$A$3:$HH$116,63,MATCH($B$3,'Data družstev'!$A$1:$HH$1,0)+8)),"")</f>
        <v/>
      </c>
    </row>
    <row r="70" spans="1:9" ht="27.95" customHeight="1" x14ac:dyDescent="0.2">
      <c r="A70" s="62" t="str">
        <f>IFERROR(IF(INDEX('Data družstev'!$A$3:$HH$116,64,MATCH($B$3,'Data družstev'!$A$1:$HH$1,0)+0)="","",INDEX('Data družstev'!$A$3:$HH$116,64,MATCH($B$3,'Data družstev'!$A$1:$HH$1,0)+0)),"")</f>
        <v/>
      </c>
      <c r="B70" s="53" t="str">
        <f>IFERROR(IF(INDEX('Data družstev'!$A$3:$HH$116,64,MATCH($B$3,'Data družstev'!$A$1:$HH$1,0)+1)="","",INDEX('Data družstev'!$A$3:$HH$116,64,MATCH($B$3,'Data družstev'!$A$1:$HH$1,0)+1)),"")</f>
        <v/>
      </c>
      <c r="C70" s="53" t="str">
        <f>IFERROR(IF(INDEX('Data družstev'!$A$3:$HH$116,64,MATCH($B$3,'Data družstev'!$A$1:$HH$1,0)+2)="","",INDEX('Data družstev'!$A$3:$HH$116,64,MATCH($B$3,'Data družstev'!$A$1:$HH$1,0)+2)),"")</f>
        <v/>
      </c>
      <c r="D70" s="53" t="str">
        <f>IFERROR(IF(INDEX('Data družstev'!$A$3:$HH$116,64,MATCH($B$3,'Data družstev'!$A$1:$HH$1,0)+3)="","",INDEX('Data družstev'!$A$3:$HH$116,64,MATCH($B$3,'Data družstev'!$A$1:$HH$1,0)+3)),"")</f>
        <v/>
      </c>
      <c r="E70" s="65" t="str">
        <f>IFERROR(IF(INDEX('Data družstev'!$A$3:$HH$116,64,MATCH($B$3,'Data družstev'!$A$1:$HH$1,0)+4)="","",INDEX('Data družstev'!$A$3:$HH$116,64,MATCH($B$3,'Data družstev'!$A$1:$HH$1,0)+4)),"")</f>
        <v/>
      </c>
      <c r="F70" s="53" t="str">
        <f>IFERROR(IF(INDEX('Data družstev'!$A$3:$HH$116,64,MATCH($B$3,'Data družstev'!$A$1:$HH$1,0)+5)="","",INDEX('Data družstev'!$A$3:$HH$116,64,MATCH($B$3,'Data družstev'!$A$1:$HH$1,0)+5)),"")</f>
        <v/>
      </c>
      <c r="G70" s="53" t="str">
        <f>IFERROR(IF(INDEX('Data družstev'!$A$3:$HH$116,64,MATCH($B$3,'Data družstev'!$A$1:$HH$1,0)+6)="","",INDEX('Data družstev'!$A$3:$HH$116,64,MATCH($B$3,'Data družstev'!$A$1:$HH$1,0)+6)),"")</f>
        <v/>
      </c>
      <c r="H70" s="53" t="str">
        <f>IFERROR(IF(INDEX('Data družstev'!$A$3:$HH$116,64,MATCH($B$3,'Data družstev'!$A$1:$HH$1,0)+7)="","",INDEX('Data družstev'!$A$3:$HH$116,64,MATCH($B$3,'Data družstev'!$A$1:$HH$1,0)+7)),"")</f>
        <v/>
      </c>
      <c r="I70" s="53" t="str">
        <f>IFERROR(IF(INDEX('Data družstev'!$A$3:$HH$116,64,MATCH($B$3,'Data družstev'!$A$1:$HH$1,0)+8)="","",INDEX('Data družstev'!$A$3:$HH$116,64,MATCH($B$3,'Data družstev'!$A$1:$HH$1,0)+8)),"")</f>
        <v/>
      </c>
    </row>
    <row r="71" spans="1:9" ht="27.95" customHeight="1" x14ac:dyDescent="0.2">
      <c r="A71" s="62" t="str">
        <f>IFERROR(IF(INDEX('Data družstev'!$A$3:$HH$116,65,MATCH($B$3,'Data družstev'!$A$1:$HH$1,0)+0)="","",INDEX('Data družstev'!$A$3:$HH$116,65,MATCH($B$3,'Data družstev'!$A$1:$HH$1,0)+0)),"")</f>
        <v/>
      </c>
      <c r="B71" s="53" t="str">
        <f>IFERROR(IF(INDEX('Data družstev'!$A$3:$HH$116,65,MATCH($B$3,'Data družstev'!$A$1:$HH$1,0)+1)="","",INDEX('Data družstev'!$A$3:$HH$116,65,MATCH($B$3,'Data družstev'!$A$1:$HH$1,0)+1)),"")</f>
        <v/>
      </c>
      <c r="C71" s="53" t="str">
        <f>IFERROR(IF(INDEX('Data družstev'!$A$3:$HH$116,65,MATCH($B$3,'Data družstev'!$A$1:$HH$1,0)+2)="","",INDEX('Data družstev'!$A$3:$HH$116,65,MATCH($B$3,'Data družstev'!$A$1:$HH$1,0)+2)),"")</f>
        <v/>
      </c>
      <c r="D71" s="53" t="str">
        <f>IFERROR(IF(INDEX('Data družstev'!$A$3:$HH$116,65,MATCH($B$3,'Data družstev'!$A$1:$HH$1,0)+3)="","",INDEX('Data družstev'!$A$3:$HH$116,65,MATCH($B$3,'Data družstev'!$A$1:$HH$1,0)+3)),"")</f>
        <v/>
      </c>
      <c r="E71" s="65" t="str">
        <f>IFERROR(IF(INDEX('Data družstev'!$A$3:$HH$116,65,MATCH($B$3,'Data družstev'!$A$1:$HH$1,0)+4)="","",INDEX('Data družstev'!$A$3:$HH$116,65,MATCH($B$3,'Data družstev'!$A$1:$HH$1,0)+4)),"")</f>
        <v/>
      </c>
      <c r="F71" s="53" t="str">
        <f>IFERROR(IF(INDEX('Data družstev'!$A$3:$HH$116,65,MATCH($B$3,'Data družstev'!$A$1:$HH$1,0)+5)="","",INDEX('Data družstev'!$A$3:$HH$116,65,MATCH($B$3,'Data družstev'!$A$1:$HH$1,0)+5)),"")</f>
        <v/>
      </c>
      <c r="G71" s="53" t="str">
        <f>IFERROR(IF(INDEX('Data družstev'!$A$3:$HH$116,65,MATCH($B$3,'Data družstev'!$A$1:$HH$1,0)+6)="","",INDEX('Data družstev'!$A$3:$HH$116,65,MATCH($B$3,'Data družstev'!$A$1:$HH$1,0)+6)),"")</f>
        <v/>
      </c>
      <c r="H71" s="53" t="str">
        <f>IFERROR(IF(INDEX('Data družstev'!$A$3:$HH$116,65,MATCH($B$3,'Data družstev'!$A$1:$HH$1,0)+7)="","",INDEX('Data družstev'!$A$3:$HH$116,65,MATCH($B$3,'Data družstev'!$A$1:$HH$1,0)+7)),"")</f>
        <v/>
      </c>
      <c r="I71" s="53" t="str">
        <f>IFERROR(IF(INDEX('Data družstev'!$A$3:$HH$116,65,MATCH($B$3,'Data družstev'!$A$1:$HH$1,0)+8)="","",INDEX('Data družstev'!$A$3:$HH$116,65,MATCH($B$3,'Data družstev'!$A$1:$HH$1,0)+8)),"")</f>
        <v/>
      </c>
    </row>
    <row r="72" spans="1:9" ht="27.95" customHeight="1" x14ac:dyDescent="0.2">
      <c r="A72" s="62" t="str">
        <f>IFERROR(IF(INDEX('Data družstev'!$A$3:$HH$116,66,MATCH($B$3,'Data družstev'!$A$1:$HH$1,0)+0)="","",INDEX('Data družstev'!$A$3:$HH$116,66,MATCH($B$3,'Data družstev'!$A$1:$HH$1,0)+0)),"")</f>
        <v/>
      </c>
      <c r="B72" s="53" t="str">
        <f>IFERROR(IF(INDEX('Data družstev'!$A$3:$HH$116,66,MATCH($B$3,'Data družstev'!$A$1:$HH$1,0)+1)="","",INDEX('Data družstev'!$A$3:$HH$116,66,MATCH($B$3,'Data družstev'!$A$1:$HH$1,0)+1)),"")</f>
        <v/>
      </c>
      <c r="C72" s="53" t="str">
        <f>IFERROR(IF(INDEX('Data družstev'!$A$3:$HH$116,66,MATCH($B$3,'Data družstev'!$A$1:$HH$1,0)+2)="","",INDEX('Data družstev'!$A$3:$HH$116,66,MATCH($B$3,'Data družstev'!$A$1:$HH$1,0)+2)),"")</f>
        <v/>
      </c>
      <c r="D72" s="53" t="str">
        <f>IFERROR(IF(INDEX('Data družstev'!$A$3:$HH$116,66,MATCH($B$3,'Data družstev'!$A$1:$HH$1,0)+3)="","",INDEX('Data družstev'!$A$3:$HH$116,66,MATCH($B$3,'Data družstev'!$A$1:$HH$1,0)+3)),"")</f>
        <v/>
      </c>
      <c r="E72" s="65" t="str">
        <f>IFERROR(IF(INDEX('Data družstev'!$A$3:$HH$116,66,MATCH($B$3,'Data družstev'!$A$1:$HH$1,0)+4)="","",INDEX('Data družstev'!$A$3:$HH$116,66,MATCH($B$3,'Data družstev'!$A$1:$HH$1,0)+4)),"")</f>
        <v/>
      </c>
      <c r="F72" s="53" t="str">
        <f>IFERROR(IF(INDEX('Data družstev'!$A$3:$HH$116,66,MATCH($B$3,'Data družstev'!$A$1:$HH$1,0)+5)="","",INDEX('Data družstev'!$A$3:$HH$116,66,MATCH($B$3,'Data družstev'!$A$1:$HH$1,0)+5)),"")</f>
        <v/>
      </c>
      <c r="G72" s="53" t="str">
        <f>IFERROR(IF(INDEX('Data družstev'!$A$3:$HH$116,66,MATCH($B$3,'Data družstev'!$A$1:$HH$1,0)+6)="","",INDEX('Data družstev'!$A$3:$HH$116,66,MATCH($B$3,'Data družstev'!$A$1:$HH$1,0)+6)),"")</f>
        <v/>
      </c>
      <c r="H72" s="53" t="str">
        <f>IFERROR(IF(INDEX('Data družstev'!$A$3:$HH$116,66,MATCH($B$3,'Data družstev'!$A$1:$HH$1,0)+7)="","",INDEX('Data družstev'!$A$3:$HH$116,66,MATCH($B$3,'Data družstev'!$A$1:$HH$1,0)+7)),"")</f>
        <v/>
      </c>
      <c r="I72" s="53" t="str">
        <f>IFERROR(IF(INDEX('Data družstev'!$A$3:$HH$116,66,MATCH($B$3,'Data družstev'!$A$1:$HH$1,0)+8)="","",INDEX('Data družstev'!$A$3:$HH$116,66,MATCH($B$3,'Data družstev'!$A$1:$HH$1,0)+8)),"")</f>
        <v/>
      </c>
    </row>
    <row r="73" spans="1:9" ht="27.95" customHeight="1" x14ac:dyDescent="0.2">
      <c r="A73" s="62" t="str">
        <f>IFERROR(IF(INDEX('Data družstev'!$A$3:$HH$116,67,MATCH($B$3,'Data družstev'!$A$1:$HH$1,0)+0)="","",INDEX('Data družstev'!$A$3:$HH$116,67,MATCH($B$3,'Data družstev'!$A$1:$HH$1,0)+0)),"")</f>
        <v/>
      </c>
      <c r="B73" s="53" t="str">
        <f>IFERROR(IF(INDEX('Data družstev'!$A$3:$HH$116,67,MATCH($B$3,'Data družstev'!$A$1:$HH$1,0)+1)="","",INDEX('Data družstev'!$A$3:$HH$116,67,MATCH($B$3,'Data družstev'!$A$1:$HH$1,0)+1)),"")</f>
        <v/>
      </c>
      <c r="C73" s="53" t="str">
        <f>IFERROR(IF(INDEX('Data družstev'!$A$3:$HH$116,67,MATCH($B$3,'Data družstev'!$A$1:$HH$1,0)+2)="","",INDEX('Data družstev'!$A$3:$HH$116,67,MATCH($B$3,'Data družstev'!$A$1:$HH$1,0)+2)),"")</f>
        <v/>
      </c>
      <c r="D73" s="53" t="str">
        <f>IFERROR(IF(INDEX('Data družstev'!$A$3:$HH$116,67,MATCH($B$3,'Data družstev'!$A$1:$HH$1,0)+3)="","",INDEX('Data družstev'!$A$3:$HH$116,67,MATCH($B$3,'Data družstev'!$A$1:$HH$1,0)+3)),"")</f>
        <v/>
      </c>
      <c r="E73" s="65" t="str">
        <f>IFERROR(IF(INDEX('Data družstev'!$A$3:$HH$116,67,MATCH($B$3,'Data družstev'!$A$1:$HH$1,0)+4)="","",INDEX('Data družstev'!$A$3:$HH$116,67,MATCH($B$3,'Data družstev'!$A$1:$HH$1,0)+4)),"")</f>
        <v/>
      </c>
      <c r="F73" s="53" t="str">
        <f>IFERROR(IF(INDEX('Data družstev'!$A$3:$HH$116,67,MATCH($B$3,'Data družstev'!$A$1:$HH$1,0)+5)="","",INDEX('Data družstev'!$A$3:$HH$116,67,MATCH($B$3,'Data družstev'!$A$1:$HH$1,0)+5)),"")</f>
        <v/>
      </c>
      <c r="G73" s="53" t="str">
        <f>IFERROR(IF(INDEX('Data družstev'!$A$3:$HH$116,67,MATCH($B$3,'Data družstev'!$A$1:$HH$1,0)+6)="","",INDEX('Data družstev'!$A$3:$HH$116,67,MATCH($B$3,'Data družstev'!$A$1:$HH$1,0)+6)),"")</f>
        <v/>
      </c>
      <c r="H73" s="53" t="str">
        <f>IFERROR(IF(INDEX('Data družstev'!$A$3:$HH$116,67,MATCH($B$3,'Data družstev'!$A$1:$HH$1,0)+7)="","",INDEX('Data družstev'!$A$3:$HH$116,67,MATCH($B$3,'Data družstev'!$A$1:$HH$1,0)+7)),"")</f>
        <v/>
      </c>
      <c r="I73" s="53" t="str">
        <f>IFERROR(IF(INDEX('Data družstev'!$A$3:$HH$116,67,MATCH($B$3,'Data družstev'!$A$1:$HH$1,0)+8)="","",INDEX('Data družstev'!$A$3:$HH$116,67,MATCH($B$3,'Data družstev'!$A$1:$HH$1,0)+8)),"")</f>
        <v/>
      </c>
    </row>
    <row r="74" spans="1:9" ht="27.95" customHeight="1" x14ac:dyDescent="0.2">
      <c r="A74" s="62" t="str">
        <f>IFERROR(IF(INDEX('Data družstev'!$A$3:$HH$116,68,MATCH($B$3,'Data družstev'!$A$1:$HH$1,0)+0)="","",INDEX('Data družstev'!$A$3:$HH$116,68,MATCH($B$3,'Data družstev'!$A$1:$HH$1,0)+0)),"")</f>
        <v/>
      </c>
      <c r="B74" s="53" t="str">
        <f>IFERROR(IF(INDEX('Data družstev'!$A$3:$HH$116,68,MATCH($B$3,'Data družstev'!$A$1:$HH$1,0)+1)="","",INDEX('Data družstev'!$A$3:$HH$116,68,MATCH($B$3,'Data družstev'!$A$1:$HH$1,0)+1)),"")</f>
        <v/>
      </c>
      <c r="C74" s="53" t="str">
        <f>IFERROR(IF(INDEX('Data družstev'!$A$3:$HH$116,68,MATCH($B$3,'Data družstev'!$A$1:$HH$1,0)+2)="","",INDEX('Data družstev'!$A$3:$HH$116,68,MATCH($B$3,'Data družstev'!$A$1:$HH$1,0)+2)),"")</f>
        <v/>
      </c>
      <c r="D74" s="53" t="str">
        <f>IFERROR(IF(INDEX('Data družstev'!$A$3:$HH$116,68,MATCH($B$3,'Data družstev'!$A$1:$HH$1,0)+3)="","",INDEX('Data družstev'!$A$3:$HH$116,68,MATCH($B$3,'Data družstev'!$A$1:$HH$1,0)+3)),"")</f>
        <v/>
      </c>
      <c r="E74" s="65" t="str">
        <f>IFERROR(IF(INDEX('Data družstev'!$A$3:$HH$116,68,MATCH($B$3,'Data družstev'!$A$1:$HH$1,0)+4)="","",INDEX('Data družstev'!$A$3:$HH$116,68,MATCH($B$3,'Data družstev'!$A$1:$HH$1,0)+4)),"")</f>
        <v/>
      </c>
      <c r="F74" s="53" t="str">
        <f>IFERROR(IF(INDEX('Data družstev'!$A$3:$HH$116,68,MATCH($B$3,'Data družstev'!$A$1:$HH$1,0)+5)="","",INDEX('Data družstev'!$A$3:$HH$116,68,MATCH($B$3,'Data družstev'!$A$1:$HH$1,0)+5)),"")</f>
        <v/>
      </c>
      <c r="G74" s="53" t="str">
        <f>IFERROR(IF(INDEX('Data družstev'!$A$3:$HH$116,68,MATCH($B$3,'Data družstev'!$A$1:$HH$1,0)+6)="","",INDEX('Data družstev'!$A$3:$HH$116,68,MATCH($B$3,'Data družstev'!$A$1:$HH$1,0)+6)),"")</f>
        <v/>
      </c>
      <c r="H74" s="53" t="str">
        <f>IFERROR(IF(INDEX('Data družstev'!$A$3:$HH$116,68,MATCH($B$3,'Data družstev'!$A$1:$HH$1,0)+7)="","",INDEX('Data družstev'!$A$3:$HH$116,68,MATCH($B$3,'Data družstev'!$A$1:$HH$1,0)+7)),"")</f>
        <v/>
      </c>
      <c r="I74" s="53" t="str">
        <f>IFERROR(IF(INDEX('Data družstev'!$A$3:$HH$116,68,MATCH($B$3,'Data družstev'!$A$1:$HH$1,0)+8)="","",INDEX('Data družstev'!$A$3:$HH$116,68,MATCH($B$3,'Data družstev'!$A$1:$HH$1,0)+8)),"")</f>
        <v/>
      </c>
    </row>
    <row r="75" spans="1:9" ht="27.95" customHeight="1" x14ac:dyDescent="0.2">
      <c r="A75" s="62" t="str">
        <f>IFERROR(IF(INDEX('Data družstev'!$A$3:$HH$116,69,MATCH($B$3,'Data družstev'!$A$1:$HH$1,0)+0)="","",INDEX('Data družstev'!$A$3:$HH$116,69,MATCH($B$3,'Data družstev'!$A$1:$HH$1,0)+0)),"")</f>
        <v/>
      </c>
      <c r="B75" s="53" t="str">
        <f>IFERROR(IF(INDEX('Data družstev'!$A$3:$HH$116,69,MATCH($B$3,'Data družstev'!$A$1:$HH$1,0)+1)="","",INDEX('Data družstev'!$A$3:$HH$116,69,MATCH($B$3,'Data družstev'!$A$1:$HH$1,0)+1)),"")</f>
        <v/>
      </c>
      <c r="C75" s="53" t="str">
        <f>IFERROR(IF(INDEX('Data družstev'!$A$3:$HH$116,69,MATCH($B$3,'Data družstev'!$A$1:$HH$1,0)+2)="","",INDEX('Data družstev'!$A$3:$HH$116,69,MATCH($B$3,'Data družstev'!$A$1:$HH$1,0)+2)),"")</f>
        <v/>
      </c>
      <c r="D75" s="53" t="str">
        <f>IFERROR(IF(INDEX('Data družstev'!$A$3:$HH$116,69,MATCH($B$3,'Data družstev'!$A$1:$HH$1,0)+3)="","",INDEX('Data družstev'!$A$3:$HH$116,69,MATCH($B$3,'Data družstev'!$A$1:$HH$1,0)+3)),"")</f>
        <v/>
      </c>
      <c r="E75" s="65" t="str">
        <f>IFERROR(IF(INDEX('Data družstev'!$A$3:$HH$116,69,MATCH($B$3,'Data družstev'!$A$1:$HH$1,0)+4)="","",INDEX('Data družstev'!$A$3:$HH$116,69,MATCH($B$3,'Data družstev'!$A$1:$HH$1,0)+4)),"")</f>
        <v/>
      </c>
      <c r="F75" s="53" t="str">
        <f>IFERROR(IF(INDEX('Data družstev'!$A$3:$HH$116,69,MATCH($B$3,'Data družstev'!$A$1:$HH$1,0)+5)="","",INDEX('Data družstev'!$A$3:$HH$116,69,MATCH($B$3,'Data družstev'!$A$1:$HH$1,0)+5)),"")</f>
        <v/>
      </c>
      <c r="G75" s="53" t="str">
        <f>IFERROR(IF(INDEX('Data družstev'!$A$3:$HH$116,69,MATCH($B$3,'Data družstev'!$A$1:$HH$1,0)+6)="","",INDEX('Data družstev'!$A$3:$HH$116,69,MATCH($B$3,'Data družstev'!$A$1:$HH$1,0)+6)),"")</f>
        <v/>
      </c>
      <c r="H75" s="53" t="str">
        <f>IFERROR(IF(INDEX('Data družstev'!$A$3:$HH$116,69,MATCH($B$3,'Data družstev'!$A$1:$HH$1,0)+7)="","",INDEX('Data družstev'!$A$3:$HH$116,69,MATCH($B$3,'Data družstev'!$A$1:$HH$1,0)+7)),"")</f>
        <v/>
      </c>
      <c r="I75" s="53" t="str">
        <f>IFERROR(IF(INDEX('Data družstev'!$A$3:$HH$116,69,MATCH($B$3,'Data družstev'!$A$1:$HH$1,0)+8)="","",INDEX('Data družstev'!$A$3:$HH$116,69,MATCH($B$3,'Data družstev'!$A$1:$HH$1,0)+8)),"")</f>
        <v/>
      </c>
    </row>
    <row r="76" spans="1:9" ht="27.95" customHeight="1" x14ac:dyDescent="0.2">
      <c r="A76" s="62" t="str">
        <f>IFERROR(IF(INDEX('Data družstev'!$A$3:$HH$116,70,MATCH($B$3,'Data družstev'!$A$1:$HH$1,0)+0)="","",INDEX('Data družstev'!$A$3:$HH$116,70,MATCH($B$3,'Data družstev'!$A$1:$HH$1,0)+0)),"")</f>
        <v/>
      </c>
      <c r="B76" s="53" t="str">
        <f>IFERROR(IF(INDEX('Data družstev'!$A$3:$HH$116,70,MATCH($B$3,'Data družstev'!$A$1:$HH$1,0)+1)="","",INDEX('Data družstev'!$A$3:$HH$116,70,MATCH($B$3,'Data družstev'!$A$1:$HH$1,0)+1)),"")</f>
        <v/>
      </c>
      <c r="C76" s="53" t="str">
        <f>IFERROR(IF(INDEX('Data družstev'!$A$3:$HH$116,70,MATCH($B$3,'Data družstev'!$A$1:$HH$1,0)+2)="","",INDEX('Data družstev'!$A$3:$HH$116,70,MATCH($B$3,'Data družstev'!$A$1:$HH$1,0)+2)),"")</f>
        <v/>
      </c>
      <c r="D76" s="53" t="str">
        <f>IFERROR(IF(INDEX('Data družstev'!$A$3:$HH$116,70,MATCH($B$3,'Data družstev'!$A$1:$HH$1,0)+3)="","",INDEX('Data družstev'!$A$3:$HH$116,70,MATCH($B$3,'Data družstev'!$A$1:$HH$1,0)+3)),"")</f>
        <v/>
      </c>
      <c r="E76" s="65" t="str">
        <f>IFERROR(IF(INDEX('Data družstev'!$A$3:$HH$116,70,MATCH($B$3,'Data družstev'!$A$1:$HH$1,0)+4)="","",INDEX('Data družstev'!$A$3:$HH$116,70,MATCH($B$3,'Data družstev'!$A$1:$HH$1,0)+4)),"")</f>
        <v/>
      </c>
      <c r="F76" s="53" t="str">
        <f>IFERROR(IF(INDEX('Data družstev'!$A$3:$HH$116,70,MATCH($B$3,'Data družstev'!$A$1:$HH$1,0)+5)="","",INDEX('Data družstev'!$A$3:$HH$116,70,MATCH($B$3,'Data družstev'!$A$1:$HH$1,0)+5)),"")</f>
        <v/>
      </c>
      <c r="G76" s="53" t="str">
        <f>IFERROR(IF(INDEX('Data družstev'!$A$3:$HH$116,70,MATCH($B$3,'Data družstev'!$A$1:$HH$1,0)+6)="","",INDEX('Data družstev'!$A$3:$HH$116,70,MATCH($B$3,'Data družstev'!$A$1:$HH$1,0)+6)),"")</f>
        <v/>
      </c>
      <c r="H76" s="53" t="str">
        <f>IFERROR(IF(INDEX('Data družstev'!$A$3:$HH$116,70,MATCH($B$3,'Data družstev'!$A$1:$HH$1,0)+7)="","",INDEX('Data družstev'!$A$3:$HH$116,70,MATCH($B$3,'Data družstev'!$A$1:$HH$1,0)+7)),"")</f>
        <v/>
      </c>
      <c r="I76" s="53" t="str">
        <f>IFERROR(IF(INDEX('Data družstev'!$A$3:$HH$116,70,MATCH($B$3,'Data družstev'!$A$1:$HH$1,0)+8)="","",INDEX('Data družstev'!$A$3:$HH$116,70,MATCH($B$3,'Data družstev'!$A$1:$HH$1,0)+8)),"")</f>
        <v/>
      </c>
    </row>
    <row r="77" spans="1:9" ht="27.95" customHeight="1" x14ac:dyDescent="0.2">
      <c r="A77" s="62" t="str">
        <f>IFERROR(IF(INDEX('Data družstev'!$A$3:$HH$116,71,MATCH($B$3,'Data družstev'!$A$1:$HH$1,0)+0)="","",INDEX('Data družstev'!$A$3:$HH$116,71,MATCH($B$3,'Data družstev'!$A$1:$HH$1,0)+0)),"")</f>
        <v/>
      </c>
      <c r="B77" s="53" t="str">
        <f>IFERROR(IF(INDEX('Data družstev'!$A$3:$HH$116,71,MATCH($B$3,'Data družstev'!$A$1:$HH$1,0)+1)="","",INDEX('Data družstev'!$A$3:$HH$116,71,MATCH($B$3,'Data družstev'!$A$1:$HH$1,0)+1)),"")</f>
        <v/>
      </c>
      <c r="C77" s="53" t="str">
        <f>IFERROR(IF(INDEX('Data družstev'!$A$3:$HH$116,71,MATCH($B$3,'Data družstev'!$A$1:$HH$1,0)+2)="","",INDEX('Data družstev'!$A$3:$HH$116,71,MATCH($B$3,'Data družstev'!$A$1:$HH$1,0)+2)),"")</f>
        <v/>
      </c>
      <c r="D77" s="53" t="str">
        <f>IFERROR(IF(INDEX('Data družstev'!$A$3:$HH$116,71,MATCH($B$3,'Data družstev'!$A$1:$HH$1,0)+3)="","",INDEX('Data družstev'!$A$3:$HH$116,71,MATCH($B$3,'Data družstev'!$A$1:$HH$1,0)+3)),"")</f>
        <v/>
      </c>
      <c r="E77" s="65" t="str">
        <f>IFERROR(IF(INDEX('Data družstev'!$A$3:$HH$116,71,MATCH($B$3,'Data družstev'!$A$1:$HH$1,0)+4)="","",INDEX('Data družstev'!$A$3:$HH$116,71,MATCH($B$3,'Data družstev'!$A$1:$HH$1,0)+4)),"")</f>
        <v/>
      </c>
      <c r="F77" s="53" t="str">
        <f>IFERROR(IF(INDEX('Data družstev'!$A$3:$HH$116,71,MATCH($B$3,'Data družstev'!$A$1:$HH$1,0)+5)="","",INDEX('Data družstev'!$A$3:$HH$116,71,MATCH($B$3,'Data družstev'!$A$1:$HH$1,0)+5)),"")</f>
        <v/>
      </c>
      <c r="G77" s="53" t="str">
        <f>IFERROR(IF(INDEX('Data družstev'!$A$3:$HH$116,71,MATCH($B$3,'Data družstev'!$A$1:$HH$1,0)+6)="","",INDEX('Data družstev'!$A$3:$HH$116,71,MATCH($B$3,'Data družstev'!$A$1:$HH$1,0)+6)),"")</f>
        <v/>
      </c>
      <c r="H77" s="53" t="str">
        <f>IFERROR(IF(INDEX('Data družstev'!$A$3:$HH$116,71,MATCH($B$3,'Data družstev'!$A$1:$HH$1,0)+7)="","",INDEX('Data družstev'!$A$3:$HH$116,71,MATCH($B$3,'Data družstev'!$A$1:$HH$1,0)+7)),"")</f>
        <v/>
      </c>
      <c r="I77" s="53" t="str">
        <f>IFERROR(IF(INDEX('Data družstev'!$A$3:$HH$116,71,MATCH($B$3,'Data družstev'!$A$1:$HH$1,0)+8)="","",INDEX('Data družstev'!$A$3:$HH$116,71,MATCH($B$3,'Data družstev'!$A$1:$HH$1,0)+8)),"")</f>
        <v/>
      </c>
    </row>
    <row r="78" spans="1:9" ht="27.95" customHeight="1" x14ac:dyDescent="0.2">
      <c r="A78" s="62" t="str">
        <f>IFERROR(IF(INDEX('Data družstev'!$A$3:$HH$116,72,MATCH($B$3,'Data družstev'!$A$1:$HH$1,0)+0)="","",INDEX('Data družstev'!$A$3:$HH$116,72,MATCH($B$3,'Data družstev'!$A$1:$HH$1,0)+0)),"")</f>
        <v/>
      </c>
      <c r="B78" s="53" t="str">
        <f>IFERROR(IF(INDEX('Data družstev'!$A$3:$HH$116,72,MATCH($B$3,'Data družstev'!$A$1:$HH$1,0)+1)="","",INDEX('Data družstev'!$A$3:$HH$116,72,MATCH($B$3,'Data družstev'!$A$1:$HH$1,0)+1)),"")</f>
        <v/>
      </c>
      <c r="C78" s="53" t="str">
        <f>IFERROR(IF(INDEX('Data družstev'!$A$3:$HH$116,72,MATCH($B$3,'Data družstev'!$A$1:$HH$1,0)+2)="","",INDEX('Data družstev'!$A$3:$HH$116,72,MATCH($B$3,'Data družstev'!$A$1:$HH$1,0)+2)),"")</f>
        <v/>
      </c>
      <c r="D78" s="53" t="str">
        <f>IFERROR(IF(INDEX('Data družstev'!$A$3:$HH$116,72,MATCH($B$3,'Data družstev'!$A$1:$HH$1,0)+3)="","",INDEX('Data družstev'!$A$3:$HH$116,72,MATCH($B$3,'Data družstev'!$A$1:$HH$1,0)+3)),"")</f>
        <v/>
      </c>
      <c r="E78" s="65" t="str">
        <f>IFERROR(IF(INDEX('Data družstev'!$A$3:$HH$116,72,MATCH($B$3,'Data družstev'!$A$1:$HH$1,0)+4)="","",INDEX('Data družstev'!$A$3:$HH$116,72,MATCH($B$3,'Data družstev'!$A$1:$HH$1,0)+4)),"")</f>
        <v/>
      </c>
      <c r="F78" s="53" t="str">
        <f>IFERROR(IF(INDEX('Data družstev'!$A$3:$HH$116,72,MATCH($B$3,'Data družstev'!$A$1:$HH$1,0)+5)="","",INDEX('Data družstev'!$A$3:$HH$116,72,MATCH($B$3,'Data družstev'!$A$1:$HH$1,0)+5)),"")</f>
        <v/>
      </c>
      <c r="G78" s="53" t="str">
        <f>IFERROR(IF(INDEX('Data družstev'!$A$3:$HH$116,72,MATCH($B$3,'Data družstev'!$A$1:$HH$1,0)+6)="","",INDEX('Data družstev'!$A$3:$HH$116,72,MATCH($B$3,'Data družstev'!$A$1:$HH$1,0)+6)),"")</f>
        <v/>
      </c>
      <c r="H78" s="53" t="str">
        <f>IFERROR(IF(INDEX('Data družstev'!$A$3:$HH$116,72,MATCH($B$3,'Data družstev'!$A$1:$HH$1,0)+7)="","",INDEX('Data družstev'!$A$3:$HH$116,72,MATCH($B$3,'Data družstev'!$A$1:$HH$1,0)+7)),"")</f>
        <v/>
      </c>
      <c r="I78" s="53" t="str">
        <f>IFERROR(IF(INDEX('Data družstev'!$A$3:$HH$116,72,MATCH($B$3,'Data družstev'!$A$1:$HH$1,0)+8)="","",INDEX('Data družstev'!$A$3:$HH$116,72,MATCH($B$3,'Data družstev'!$A$1:$HH$1,0)+8)),"")</f>
        <v/>
      </c>
    </row>
    <row r="79" spans="1:9" ht="27.95" customHeight="1" x14ac:dyDescent="0.2">
      <c r="A79" s="62" t="str">
        <f>IFERROR(IF(INDEX('Data družstev'!$A$3:$HH$116,73,MATCH($B$3,'Data družstev'!$A$1:$HH$1,0)+0)="","",INDEX('Data družstev'!$A$3:$HH$116,73,MATCH($B$3,'Data družstev'!$A$1:$HH$1,0)+0)),"")</f>
        <v/>
      </c>
      <c r="B79" s="53" t="str">
        <f>IFERROR(IF(INDEX('Data družstev'!$A$3:$HH$116,73,MATCH($B$3,'Data družstev'!$A$1:$HH$1,0)+1)="","",INDEX('Data družstev'!$A$3:$HH$116,73,MATCH($B$3,'Data družstev'!$A$1:$HH$1,0)+1)),"")</f>
        <v/>
      </c>
      <c r="C79" s="53" t="str">
        <f>IFERROR(IF(INDEX('Data družstev'!$A$3:$HH$116,73,MATCH($B$3,'Data družstev'!$A$1:$HH$1,0)+2)="","",INDEX('Data družstev'!$A$3:$HH$116,73,MATCH($B$3,'Data družstev'!$A$1:$HH$1,0)+2)),"")</f>
        <v/>
      </c>
      <c r="D79" s="53" t="str">
        <f>IFERROR(IF(INDEX('Data družstev'!$A$3:$HH$116,73,MATCH($B$3,'Data družstev'!$A$1:$HH$1,0)+3)="","",INDEX('Data družstev'!$A$3:$HH$116,73,MATCH($B$3,'Data družstev'!$A$1:$HH$1,0)+3)),"")</f>
        <v/>
      </c>
      <c r="E79" s="65" t="str">
        <f>IFERROR(IF(INDEX('Data družstev'!$A$3:$HH$116,73,MATCH($B$3,'Data družstev'!$A$1:$HH$1,0)+4)="","",INDEX('Data družstev'!$A$3:$HH$116,73,MATCH($B$3,'Data družstev'!$A$1:$HH$1,0)+4)),"")</f>
        <v/>
      </c>
      <c r="F79" s="53" t="str">
        <f>IFERROR(IF(INDEX('Data družstev'!$A$3:$HH$116,73,MATCH($B$3,'Data družstev'!$A$1:$HH$1,0)+5)="","",INDEX('Data družstev'!$A$3:$HH$116,73,MATCH($B$3,'Data družstev'!$A$1:$HH$1,0)+5)),"")</f>
        <v/>
      </c>
      <c r="G79" s="53" t="str">
        <f>IFERROR(IF(INDEX('Data družstev'!$A$3:$HH$116,73,MATCH($B$3,'Data družstev'!$A$1:$HH$1,0)+6)="","",INDEX('Data družstev'!$A$3:$HH$116,73,MATCH($B$3,'Data družstev'!$A$1:$HH$1,0)+6)),"")</f>
        <v/>
      </c>
      <c r="H79" s="53" t="str">
        <f>IFERROR(IF(INDEX('Data družstev'!$A$3:$HH$116,73,MATCH($B$3,'Data družstev'!$A$1:$HH$1,0)+7)="","",INDEX('Data družstev'!$A$3:$HH$116,73,MATCH($B$3,'Data družstev'!$A$1:$HH$1,0)+7)),"")</f>
        <v/>
      </c>
      <c r="I79" s="53" t="str">
        <f>IFERROR(IF(INDEX('Data družstev'!$A$3:$HH$116,73,MATCH($B$3,'Data družstev'!$A$1:$HH$1,0)+8)="","",INDEX('Data družstev'!$A$3:$HH$116,73,MATCH($B$3,'Data družstev'!$A$1:$HH$1,0)+8)),"")</f>
        <v/>
      </c>
    </row>
    <row r="80" spans="1:9" ht="27.95" customHeight="1" x14ac:dyDescent="0.2">
      <c r="A80" s="62" t="str">
        <f>IFERROR(IF(INDEX('Data družstev'!$A$3:$HH$116,74,MATCH($B$3,'Data družstev'!$A$1:$HH$1,0)+0)="","",INDEX('Data družstev'!$A$3:$HH$116,74,MATCH($B$3,'Data družstev'!$A$1:$HH$1,0)+0)),"")</f>
        <v/>
      </c>
      <c r="B80" s="53" t="str">
        <f>IFERROR(IF(INDEX('Data družstev'!$A$3:$HH$116,74,MATCH($B$3,'Data družstev'!$A$1:$HH$1,0)+1)="","",INDEX('Data družstev'!$A$3:$HH$116,74,MATCH($B$3,'Data družstev'!$A$1:$HH$1,0)+1)),"")</f>
        <v/>
      </c>
      <c r="C80" s="53" t="str">
        <f>IFERROR(IF(INDEX('Data družstev'!$A$3:$HH$116,74,MATCH($B$3,'Data družstev'!$A$1:$HH$1,0)+2)="","",INDEX('Data družstev'!$A$3:$HH$116,74,MATCH($B$3,'Data družstev'!$A$1:$HH$1,0)+2)),"")</f>
        <v/>
      </c>
      <c r="D80" s="53" t="str">
        <f>IFERROR(IF(INDEX('Data družstev'!$A$3:$HH$116,74,MATCH($B$3,'Data družstev'!$A$1:$HH$1,0)+3)="","",INDEX('Data družstev'!$A$3:$HH$116,74,MATCH($B$3,'Data družstev'!$A$1:$HH$1,0)+3)),"")</f>
        <v/>
      </c>
      <c r="E80" s="65" t="str">
        <f>IFERROR(IF(INDEX('Data družstev'!$A$3:$HH$116,74,MATCH($B$3,'Data družstev'!$A$1:$HH$1,0)+4)="","",INDEX('Data družstev'!$A$3:$HH$116,74,MATCH($B$3,'Data družstev'!$A$1:$HH$1,0)+4)),"")</f>
        <v/>
      </c>
      <c r="F80" s="53" t="str">
        <f>IFERROR(IF(INDEX('Data družstev'!$A$3:$HH$116,74,MATCH($B$3,'Data družstev'!$A$1:$HH$1,0)+5)="","",INDEX('Data družstev'!$A$3:$HH$116,74,MATCH($B$3,'Data družstev'!$A$1:$HH$1,0)+5)),"")</f>
        <v/>
      </c>
      <c r="G80" s="53" t="str">
        <f>IFERROR(IF(INDEX('Data družstev'!$A$3:$HH$116,74,MATCH($B$3,'Data družstev'!$A$1:$HH$1,0)+6)="","",INDEX('Data družstev'!$A$3:$HH$116,74,MATCH($B$3,'Data družstev'!$A$1:$HH$1,0)+6)),"")</f>
        <v/>
      </c>
      <c r="H80" s="53" t="str">
        <f>IFERROR(IF(INDEX('Data družstev'!$A$3:$HH$116,74,MATCH($B$3,'Data družstev'!$A$1:$HH$1,0)+7)="","",INDEX('Data družstev'!$A$3:$HH$116,74,MATCH($B$3,'Data družstev'!$A$1:$HH$1,0)+7)),"")</f>
        <v/>
      </c>
      <c r="I80" s="53" t="str">
        <f>IFERROR(IF(INDEX('Data družstev'!$A$3:$HH$116,74,MATCH($B$3,'Data družstev'!$A$1:$HH$1,0)+8)="","",INDEX('Data družstev'!$A$3:$HH$116,74,MATCH($B$3,'Data družstev'!$A$1:$HH$1,0)+8)),"")</f>
        <v/>
      </c>
    </row>
    <row r="81" spans="1:9" ht="27.95" customHeight="1" x14ac:dyDescent="0.2">
      <c r="A81" s="62" t="str">
        <f>IFERROR(IF(INDEX('Data družstev'!$A$3:$HH$116,75,MATCH($B$3,'Data družstev'!$A$1:$HH$1,0)+0)="","",INDEX('Data družstev'!$A$3:$HH$116,75,MATCH($B$3,'Data družstev'!$A$1:$HH$1,0)+0)),"")</f>
        <v/>
      </c>
      <c r="B81" s="53" t="str">
        <f>IFERROR(IF(INDEX('Data družstev'!$A$3:$HH$116,75,MATCH($B$3,'Data družstev'!$A$1:$HH$1,0)+1)="","",INDEX('Data družstev'!$A$3:$HH$116,75,MATCH($B$3,'Data družstev'!$A$1:$HH$1,0)+1)),"")</f>
        <v/>
      </c>
      <c r="C81" s="53" t="str">
        <f>IFERROR(IF(INDEX('Data družstev'!$A$3:$HH$116,75,MATCH($B$3,'Data družstev'!$A$1:$HH$1,0)+2)="","",INDEX('Data družstev'!$A$3:$HH$116,75,MATCH($B$3,'Data družstev'!$A$1:$HH$1,0)+2)),"")</f>
        <v/>
      </c>
      <c r="D81" s="53" t="str">
        <f>IFERROR(IF(INDEX('Data družstev'!$A$3:$HH$116,75,MATCH($B$3,'Data družstev'!$A$1:$HH$1,0)+3)="","",INDEX('Data družstev'!$A$3:$HH$116,75,MATCH($B$3,'Data družstev'!$A$1:$HH$1,0)+3)),"")</f>
        <v/>
      </c>
      <c r="E81" s="65" t="str">
        <f>IFERROR(IF(INDEX('Data družstev'!$A$3:$HH$116,75,MATCH($B$3,'Data družstev'!$A$1:$HH$1,0)+4)="","",INDEX('Data družstev'!$A$3:$HH$116,75,MATCH($B$3,'Data družstev'!$A$1:$HH$1,0)+4)),"")</f>
        <v/>
      </c>
      <c r="F81" s="53" t="str">
        <f>IFERROR(IF(INDEX('Data družstev'!$A$3:$HH$116,75,MATCH($B$3,'Data družstev'!$A$1:$HH$1,0)+5)="","",INDEX('Data družstev'!$A$3:$HH$116,75,MATCH($B$3,'Data družstev'!$A$1:$HH$1,0)+5)),"")</f>
        <v/>
      </c>
      <c r="G81" s="53" t="str">
        <f>IFERROR(IF(INDEX('Data družstev'!$A$3:$HH$116,75,MATCH($B$3,'Data družstev'!$A$1:$HH$1,0)+6)="","",INDEX('Data družstev'!$A$3:$HH$116,75,MATCH($B$3,'Data družstev'!$A$1:$HH$1,0)+6)),"")</f>
        <v/>
      </c>
      <c r="H81" s="53" t="str">
        <f>IFERROR(IF(INDEX('Data družstev'!$A$3:$HH$116,75,MATCH($B$3,'Data družstev'!$A$1:$HH$1,0)+7)="","",INDEX('Data družstev'!$A$3:$HH$116,75,MATCH($B$3,'Data družstev'!$A$1:$HH$1,0)+7)),"")</f>
        <v/>
      </c>
      <c r="I81" s="53" t="str">
        <f>IFERROR(IF(INDEX('Data družstev'!$A$3:$HH$116,75,MATCH($B$3,'Data družstev'!$A$1:$HH$1,0)+8)="","",INDEX('Data družstev'!$A$3:$HH$116,75,MATCH($B$3,'Data družstev'!$A$1:$HH$1,0)+8)),"")</f>
        <v/>
      </c>
    </row>
    <row r="82" spans="1:9" ht="27.95" customHeight="1" x14ac:dyDescent="0.2">
      <c r="A82" s="62" t="str">
        <f>IFERROR(IF(INDEX('Data družstev'!$A$3:$HH$116,76,MATCH($B$3,'Data družstev'!$A$1:$HH$1,0)+0)="","",INDEX('Data družstev'!$A$3:$HH$116,76,MATCH($B$3,'Data družstev'!$A$1:$HH$1,0)+0)),"")</f>
        <v/>
      </c>
      <c r="B82" s="53" t="str">
        <f>IFERROR(IF(INDEX('Data družstev'!$A$3:$HH$116,76,MATCH($B$3,'Data družstev'!$A$1:$HH$1,0)+1)="","",INDEX('Data družstev'!$A$3:$HH$116,76,MATCH($B$3,'Data družstev'!$A$1:$HH$1,0)+1)),"")</f>
        <v/>
      </c>
      <c r="C82" s="53" t="str">
        <f>IFERROR(IF(INDEX('Data družstev'!$A$3:$HH$116,76,MATCH($B$3,'Data družstev'!$A$1:$HH$1,0)+2)="","",INDEX('Data družstev'!$A$3:$HH$116,76,MATCH($B$3,'Data družstev'!$A$1:$HH$1,0)+2)),"")</f>
        <v/>
      </c>
      <c r="D82" s="53" t="str">
        <f>IFERROR(IF(INDEX('Data družstev'!$A$3:$HH$116,76,MATCH($B$3,'Data družstev'!$A$1:$HH$1,0)+3)="","",INDEX('Data družstev'!$A$3:$HH$116,76,MATCH($B$3,'Data družstev'!$A$1:$HH$1,0)+3)),"")</f>
        <v/>
      </c>
      <c r="E82" s="65" t="str">
        <f>IFERROR(IF(INDEX('Data družstev'!$A$3:$HH$116,76,MATCH($B$3,'Data družstev'!$A$1:$HH$1,0)+4)="","",INDEX('Data družstev'!$A$3:$HH$116,76,MATCH($B$3,'Data družstev'!$A$1:$HH$1,0)+4)),"")</f>
        <v/>
      </c>
      <c r="F82" s="53" t="str">
        <f>IFERROR(IF(INDEX('Data družstev'!$A$3:$HH$116,76,MATCH($B$3,'Data družstev'!$A$1:$HH$1,0)+5)="","",INDEX('Data družstev'!$A$3:$HH$116,76,MATCH($B$3,'Data družstev'!$A$1:$HH$1,0)+5)),"")</f>
        <v/>
      </c>
      <c r="G82" s="53" t="str">
        <f>IFERROR(IF(INDEX('Data družstev'!$A$3:$HH$116,76,MATCH($B$3,'Data družstev'!$A$1:$HH$1,0)+6)="","",INDEX('Data družstev'!$A$3:$HH$116,76,MATCH($B$3,'Data družstev'!$A$1:$HH$1,0)+6)),"")</f>
        <v/>
      </c>
      <c r="H82" s="53" t="str">
        <f>IFERROR(IF(INDEX('Data družstev'!$A$3:$HH$116,76,MATCH($B$3,'Data družstev'!$A$1:$HH$1,0)+7)="","",INDEX('Data družstev'!$A$3:$HH$116,76,MATCH($B$3,'Data družstev'!$A$1:$HH$1,0)+7)),"")</f>
        <v/>
      </c>
      <c r="I82" s="53" t="str">
        <f>IFERROR(IF(INDEX('Data družstev'!$A$3:$HH$116,76,MATCH($B$3,'Data družstev'!$A$1:$HH$1,0)+8)="","",INDEX('Data družstev'!$A$3:$HH$116,76,MATCH($B$3,'Data družstev'!$A$1:$HH$1,0)+8)),"")</f>
        <v/>
      </c>
    </row>
    <row r="83" spans="1:9" ht="27.95" customHeight="1" x14ac:dyDescent="0.2">
      <c r="A83" s="62" t="str">
        <f>IFERROR(IF(INDEX('Data družstev'!$A$3:$HH$116,77,MATCH($B$3,'Data družstev'!$A$1:$HH$1,0)+0)="","",INDEX('Data družstev'!$A$3:$HH$116,77,MATCH($B$3,'Data družstev'!$A$1:$HH$1,0)+0)),"")</f>
        <v/>
      </c>
      <c r="B83" s="53" t="str">
        <f>IFERROR(IF(INDEX('Data družstev'!$A$3:$HH$116,77,MATCH($B$3,'Data družstev'!$A$1:$HH$1,0)+1)="","",INDEX('Data družstev'!$A$3:$HH$116,77,MATCH($B$3,'Data družstev'!$A$1:$HH$1,0)+1)),"")</f>
        <v/>
      </c>
      <c r="C83" s="53" t="str">
        <f>IFERROR(IF(INDEX('Data družstev'!$A$3:$HH$116,77,MATCH($B$3,'Data družstev'!$A$1:$HH$1,0)+2)="","",INDEX('Data družstev'!$A$3:$HH$116,77,MATCH($B$3,'Data družstev'!$A$1:$HH$1,0)+2)),"")</f>
        <v/>
      </c>
      <c r="D83" s="53" t="str">
        <f>IFERROR(IF(INDEX('Data družstev'!$A$3:$HH$116,77,MATCH($B$3,'Data družstev'!$A$1:$HH$1,0)+3)="","",INDEX('Data družstev'!$A$3:$HH$116,77,MATCH($B$3,'Data družstev'!$A$1:$HH$1,0)+3)),"")</f>
        <v/>
      </c>
      <c r="E83" s="65" t="str">
        <f>IFERROR(IF(INDEX('Data družstev'!$A$3:$HH$116,77,MATCH($B$3,'Data družstev'!$A$1:$HH$1,0)+4)="","",INDEX('Data družstev'!$A$3:$HH$116,77,MATCH($B$3,'Data družstev'!$A$1:$HH$1,0)+4)),"")</f>
        <v/>
      </c>
      <c r="F83" s="53" t="str">
        <f>IFERROR(IF(INDEX('Data družstev'!$A$3:$HH$116,77,MATCH($B$3,'Data družstev'!$A$1:$HH$1,0)+5)="","",INDEX('Data družstev'!$A$3:$HH$116,77,MATCH($B$3,'Data družstev'!$A$1:$HH$1,0)+5)),"")</f>
        <v/>
      </c>
      <c r="G83" s="53" t="str">
        <f>IFERROR(IF(INDEX('Data družstev'!$A$3:$HH$116,77,MATCH($B$3,'Data družstev'!$A$1:$HH$1,0)+6)="","",INDEX('Data družstev'!$A$3:$HH$116,77,MATCH($B$3,'Data družstev'!$A$1:$HH$1,0)+6)),"")</f>
        <v/>
      </c>
      <c r="H83" s="53" t="str">
        <f>IFERROR(IF(INDEX('Data družstev'!$A$3:$HH$116,77,MATCH($B$3,'Data družstev'!$A$1:$HH$1,0)+7)="","",INDEX('Data družstev'!$A$3:$HH$116,77,MATCH($B$3,'Data družstev'!$A$1:$HH$1,0)+7)),"")</f>
        <v/>
      </c>
      <c r="I83" s="53" t="str">
        <f>IFERROR(IF(INDEX('Data družstev'!$A$3:$HH$116,77,MATCH($B$3,'Data družstev'!$A$1:$HH$1,0)+8)="","",INDEX('Data družstev'!$A$3:$HH$116,77,MATCH($B$3,'Data družstev'!$A$1:$HH$1,0)+8)),"")</f>
        <v/>
      </c>
    </row>
    <row r="84" spans="1:9" ht="27.95" customHeight="1" x14ac:dyDescent="0.2">
      <c r="A84" s="62" t="str">
        <f>IFERROR(IF(INDEX('Data družstev'!$A$3:$HH$116,78,MATCH($B$3,'Data družstev'!$A$1:$HH$1,0)+0)="","",INDEX('Data družstev'!$A$3:$HH$116,78,MATCH($B$3,'Data družstev'!$A$1:$HH$1,0)+0)),"")</f>
        <v/>
      </c>
      <c r="B84" s="53" t="str">
        <f>IFERROR(IF(INDEX('Data družstev'!$A$3:$HH$116,78,MATCH($B$3,'Data družstev'!$A$1:$HH$1,0)+1)="","",INDEX('Data družstev'!$A$3:$HH$116,78,MATCH($B$3,'Data družstev'!$A$1:$HH$1,0)+1)),"")</f>
        <v/>
      </c>
      <c r="C84" s="53" t="str">
        <f>IFERROR(IF(INDEX('Data družstev'!$A$3:$HH$116,78,MATCH($B$3,'Data družstev'!$A$1:$HH$1,0)+2)="","",INDEX('Data družstev'!$A$3:$HH$116,78,MATCH($B$3,'Data družstev'!$A$1:$HH$1,0)+2)),"")</f>
        <v/>
      </c>
      <c r="D84" s="53" t="str">
        <f>IFERROR(IF(INDEX('Data družstev'!$A$3:$HH$116,78,MATCH($B$3,'Data družstev'!$A$1:$HH$1,0)+3)="","",INDEX('Data družstev'!$A$3:$HH$116,78,MATCH($B$3,'Data družstev'!$A$1:$HH$1,0)+3)),"")</f>
        <v/>
      </c>
      <c r="E84" s="65" t="str">
        <f>IFERROR(IF(INDEX('Data družstev'!$A$3:$HH$116,78,MATCH($B$3,'Data družstev'!$A$1:$HH$1,0)+4)="","",INDEX('Data družstev'!$A$3:$HH$116,78,MATCH($B$3,'Data družstev'!$A$1:$HH$1,0)+4)),"")</f>
        <v/>
      </c>
      <c r="F84" s="53" t="str">
        <f>IFERROR(IF(INDEX('Data družstev'!$A$3:$HH$116,78,MATCH($B$3,'Data družstev'!$A$1:$HH$1,0)+5)="","",INDEX('Data družstev'!$A$3:$HH$116,78,MATCH($B$3,'Data družstev'!$A$1:$HH$1,0)+5)),"")</f>
        <v/>
      </c>
      <c r="G84" s="53" t="str">
        <f>IFERROR(IF(INDEX('Data družstev'!$A$3:$HH$116,78,MATCH($B$3,'Data družstev'!$A$1:$HH$1,0)+6)="","",INDEX('Data družstev'!$A$3:$HH$116,78,MATCH($B$3,'Data družstev'!$A$1:$HH$1,0)+6)),"")</f>
        <v/>
      </c>
      <c r="H84" s="53" t="str">
        <f>IFERROR(IF(INDEX('Data družstev'!$A$3:$HH$116,78,MATCH($B$3,'Data družstev'!$A$1:$HH$1,0)+7)="","",INDEX('Data družstev'!$A$3:$HH$116,78,MATCH($B$3,'Data družstev'!$A$1:$HH$1,0)+7)),"")</f>
        <v/>
      </c>
      <c r="I84" s="53" t="str">
        <f>IFERROR(IF(INDEX('Data družstev'!$A$3:$HH$116,78,MATCH($B$3,'Data družstev'!$A$1:$HH$1,0)+8)="","",INDEX('Data družstev'!$A$3:$HH$116,78,MATCH($B$3,'Data družstev'!$A$1:$HH$1,0)+8)),"")</f>
        <v/>
      </c>
    </row>
    <row r="85" spans="1:9" ht="27.95" customHeight="1" x14ac:dyDescent="0.2">
      <c r="A85" s="62" t="str">
        <f>IFERROR(IF(INDEX('Data družstev'!$A$3:$HH$116,79,MATCH($B$3,'Data družstev'!$A$1:$HH$1,0)+0)="","",INDEX('Data družstev'!$A$3:$HH$116,79,MATCH($B$3,'Data družstev'!$A$1:$HH$1,0)+0)),"")</f>
        <v/>
      </c>
      <c r="B85" s="53" t="str">
        <f>IFERROR(IF(INDEX('Data družstev'!$A$3:$HH$116,79,MATCH($B$3,'Data družstev'!$A$1:$HH$1,0)+1)="","",INDEX('Data družstev'!$A$3:$HH$116,79,MATCH($B$3,'Data družstev'!$A$1:$HH$1,0)+1)),"")</f>
        <v/>
      </c>
      <c r="C85" s="53" t="str">
        <f>IFERROR(IF(INDEX('Data družstev'!$A$3:$HH$116,79,MATCH($B$3,'Data družstev'!$A$1:$HH$1,0)+2)="","",INDEX('Data družstev'!$A$3:$HH$116,79,MATCH($B$3,'Data družstev'!$A$1:$HH$1,0)+2)),"")</f>
        <v/>
      </c>
      <c r="D85" s="53" t="str">
        <f>IFERROR(IF(INDEX('Data družstev'!$A$3:$HH$116,79,MATCH($B$3,'Data družstev'!$A$1:$HH$1,0)+3)="","",INDEX('Data družstev'!$A$3:$HH$116,79,MATCH($B$3,'Data družstev'!$A$1:$HH$1,0)+3)),"")</f>
        <v/>
      </c>
      <c r="E85" s="65" t="str">
        <f>IFERROR(IF(INDEX('Data družstev'!$A$3:$HH$116,79,MATCH($B$3,'Data družstev'!$A$1:$HH$1,0)+4)="","",INDEX('Data družstev'!$A$3:$HH$116,79,MATCH($B$3,'Data družstev'!$A$1:$HH$1,0)+4)),"")</f>
        <v/>
      </c>
      <c r="F85" s="53" t="str">
        <f>IFERROR(IF(INDEX('Data družstev'!$A$3:$HH$116,79,MATCH($B$3,'Data družstev'!$A$1:$HH$1,0)+5)="","",INDEX('Data družstev'!$A$3:$HH$116,79,MATCH($B$3,'Data družstev'!$A$1:$HH$1,0)+5)),"")</f>
        <v/>
      </c>
      <c r="G85" s="53" t="str">
        <f>IFERROR(IF(INDEX('Data družstev'!$A$3:$HH$116,79,MATCH($B$3,'Data družstev'!$A$1:$HH$1,0)+6)="","",INDEX('Data družstev'!$A$3:$HH$116,79,MATCH($B$3,'Data družstev'!$A$1:$HH$1,0)+6)),"")</f>
        <v/>
      </c>
      <c r="H85" s="53" t="str">
        <f>IFERROR(IF(INDEX('Data družstev'!$A$3:$HH$116,79,MATCH($B$3,'Data družstev'!$A$1:$HH$1,0)+7)="","",INDEX('Data družstev'!$A$3:$HH$116,79,MATCH($B$3,'Data družstev'!$A$1:$HH$1,0)+7)),"")</f>
        <v/>
      </c>
      <c r="I85" s="53" t="str">
        <f>IFERROR(IF(INDEX('Data družstev'!$A$3:$HH$116,79,MATCH($B$3,'Data družstev'!$A$1:$HH$1,0)+8)="","",INDEX('Data družstev'!$A$3:$HH$116,79,MATCH($B$3,'Data družstev'!$A$1:$HH$1,0)+8)),"")</f>
        <v/>
      </c>
    </row>
    <row r="86" spans="1:9" ht="27.95" customHeight="1" x14ac:dyDescent="0.2">
      <c r="A86" s="62" t="str">
        <f>IFERROR(IF(INDEX('Data družstev'!$A$3:$HH$116,80,MATCH($B$3,'Data družstev'!$A$1:$HH$1,0)+0)="","",INDEX('Data družstev'!$A$3:$HH$116,80,MATCH($B$3,'Data družstev'!$A$1:$HH$1,0)+0)),"")</f>
        <v/>
      </c>
      <c r="B86" s="53" t="str">
        <f>IFERROR(IF(INDEX('Data družstev'!$A$3:$HH$116,80,MATCH($B$3,'Data družstev'!$A$1:$HH$1,0)+1)="","",INDEX('Data družstev'!$A$3:$HH$116,80,MATCH($B$3,'Data družstev'!$A$1:$HH$1,0)+1)),"")</f>
        <v/>
      </c>
      <c r="C86" s="53" t="str">
        <f>IFERROR(IF(INDEX('Data družstev'!$A$3:$HH$116,80,MATCH($B$3,'Data družstev'!$A$1:$HH$1,0)+2)="","",INDEX('Data družstev'!$A$3:$HH$116,80,MATCH($B$3,'Data družstev'!$A$1:$HH$1,0)+2)),"")</f>
        <v/>
      </c>
      <c r="D86" s="53" t="str">
        <f>IFERROR(IF(INDEX('Data družstev'!$A$3:$HH$116,80,MATCH($B$3,'Data družstev'!$A$1:$HH$1,0)+3)="","",INDEX('Data družstev'!$A$3:$HH$116,80,MATCH($B$3,'Data družstev'!$A$1:$HH$1,0)+3)),"")</f>
        <v/>
      </c>
      <c r="E86" s="65" t="str">
        <f>IFERROR(IF(INDEX('Data družstev'!$A$3:$HH$116,80,MATCH($B$3,'Data družstev'!$A$1:$HH$1,0)+4)="","",INDEX('Data družstev'!$A$3:$HH$116,80,MATCH($B$3,'Data družstev'!$A$1:$HH$1,0)+4)),"")</f>
        <v/>
      </c>
      <c r="F86" s="53" t="str">
        <f>IFERROR(IF(INDEX('Data družstev'!$A$3:$HH$116,80,MATCH($B$3,'Data družstev'!$A$1:$HH$1,0)+5)="","",INDEX('Data družstev'!$A$3:$HH$116,80,MATCH($B$3,'Data družstev'!$A$1:$HH$1,0)+5)),"")</f>
        <v/>
      </c>
      <c r="G86" s="53" t="str">
        <f>IFERROR(IF(INDEX('Data družstev'!$A$3:$HH$116,80,MATCH($B$3,'Data družstev'!$A$1:$HH$1,0)+6)="","",INDEX('Data družstev'!$A$3:$HH$116,80,MATCH($B$3,'Data družstev'!$A$1:$HH$1,0)+6)),"")</f>
        <v/>
      </c>
      <c r="H86" s="53" t="str">
        <f>IFERROR(IF(INDEX('Data družstev'!$A$3:$HH$116,80,MATCH($B$3,'Data družstev'!$A$1:$HH$1,0)+7)="","",INDEX('Data družstev'!$A$3:$HH$116,80,MATCH($B$3,'Data družstev'!$A$1:$HH$1,0)+7)),"")</f>
        <v/>
      </c>
      <c r="I86" s="53" t="str">
        <f>IFERROR(IF(INDEX('Data družstev'!$A$3:$HH$116,80,MATCH($B$3,'Data družstev'!$A$1:$HH$1,0)+8)="","",INDEX('Data družstev'!$A$3:$HH$116,80,MATCH($B$3,'Data družstev'!$A$1:$HH$1,0)+8)),"")</f>
        <v/>
      </c>
    </row>
    <row r="87" spans="1:9" ht="27.95" customHeight="1" x14ac:dyDescent="0.2">
      <c r="A87" s="62" t="str">
        <f>IFERROR(IF(INDEX('Data družstev'!$A$3:$HH$116,81,MATCH($B$3,'Data družstev'!$A$1:$HH$1,0)+0)="","",INDEX('Data družstev'!$A$3:$HH$116,81,MATCH($B$3,'Data družstev'!$A$1:$HH$1,0)+0)),"")</f>
        <v/>
      </c>
      <c r="B87" s="53" t="str">
        <f>IFERROR(IF(INDEX('Data družstev'!$A$3:$HH$116,81,MATCH($B$3,'Data družstev'!$A$1:$HH$1,0)+1)="","",INDEX('Data družstev'!$A$3:$HH$116,81,MATCH($B$3,'Data družstev'!$A$1:$HH$1,0)+1)),"")</f>
        <v/>
      </c>
      <c r="C87" s="53" t="str">
        <f>IFERROR(IF(INDEX('Data družstev'!$A$3:$HH$116,81,MATCH($B$3,'Data družstev'!$A$1:$HH$1,0)+2)="","",INDEX('Data družstev'!$A$3:$HH$116,81,MATCH($B$3,'Data družstev'!$A$1:$HH$1,0)+2)),"")</f>
        <v/>
      </c>
      <c r="D87" s="53" t="str">
        <f>IFERROR(IF(INDEX('Data družstev'!$A$3:$HH$116,81,MATCH($B$3,'Data družstev'!$A$1:$HH$1,0)+3)="","",INDEX('Data družstev'!$A$3:$HH$116,81,MATCH($B$3,'Data družstev'!$A$1:$HH$1,0)+3)),"")</f>
        <v/>
      </c>
      <c r="E87" s="65" t="str">
        <f>IFERROR(IF(INDEX('Data družstev'!$A$3:$HH$116,81,MATCH($B$3,'Data družstev'!$A$1:$HH$1,0)+4)="","",INDEX('Data družstev'!$A$3:$HH$116,81,MATCH($B$3,'Data družstev'!$A$1:$HH$1,0)+4)),"")</f>
        <v/>
      </c>
      <c r="F87" s="53" t="str">
        <f>IFERROR(IF(INDEX('Data družstev'!$A$3:$HH$116,81,MATCH($B$3,'Data družstev'!$A$1:$HH$1,0)+5)="","",INDEX('Data družstev'!$A$3:$HH$116,81,MATCH($B$3,'Data družstev'!$A$1:$HH$1,0)+5)),"")</f>
        <v/>
      </c>
      <c r="G87" s="53" t="str">
        <f>IFERROR(IF(INDEX('Data družstev'!$A$3:$HH$116,81,MATCH($B$3,'Data družstev'!$A$1:$HH$1,0)+6)="","",INDEX('Data družstev'!$A$3:$HH$116,81,MATCH($B$3,'Data družstev'!$A$1:$HH$1,0)+6)),"")</f>
        <v/>
      </c>
      <c r="H87" s="53" t="str">
        <f>IFERROR(IF(INDEX('Data družstev'!$A$3:$HH$116,81,MATCH($B$3,'Data družstev'!$A$1:$HH$1,0)+7)="","",INDEX('Data družstev'!$A$3:$HH$116,81,MATCH($B$3,'Data družstev'!$A$1:$HH$1,0)+7)),"")</f>
        <v/>
      </c>
      <c r="I87" s="53" t="str">
        <f>IFERROR(IF(INDEX('Data družstev'!$A$3:$HH$116,81,MATCH($B$3,'Data družstev'!$A$1:$HH$1,0)+8)="","",INDEX('Data družstev'!$A$3:$HH$116,81,MATCH($B$3,'Data družstev'!$A$1:$HH$1,0)+8)),"")</f>
        <v/>
      </c>
    </row>
    <row r="88" spans="1:9" ht="27.95" customHeight="1" x14ac:dyDescent="0.2">
      <c r="A88" s="62" t="str">
        <f>IFERROR(IF(INDEX('Data družstev'!$A$3:$HH$116,82,MATCH($B$3,'Data družstev'!$A$1:$HH$1,0)+0)="","",INDEX('Data družstev'!$A$3:$HH$116,82,MATCH($B$3,'Data družstev'!$A$1:$HH$1,0)+0)),"")</f>
        <v/>
      </c>
      <c r="B88" s="53" t="str">
        <f>IFERROR(IF(INDEX('Data družstev'!$A$3:$HH$116,82,MATCH($B$3,'Data družstev'!$A$1:$HH$1,0)+1)="","",INDEX('Data družstev'!$A$3:$HH$116,82,MATCH($B$3,'Data družstev'!$A$1:$HH$1,0)+1)),"")</f>
        <v/>
      </c>
      <c r="C88" s="53" t="str">
        <f>IFERROR(IF(INDEX('Data družstev'!$A$3:$HH$116,82,MATCH($B$3,'Data družstev'!$A$1:$HH$1,0)+2)="","",INDEX('Data družstev'!$A$3:$HH$116,82,MATCH($B$3,'Data družstev'!$A$1:$HH$1,0)+2)),"")</f>
        <v/>
      </c>
      <c r="D88" s="53" t="str">
        <f>IFERROR(IF(INDEX('Data družstev'!$A$3:$HH$116,82,MATCH($B$3,'Data družstev'!$A$1:$HH$1,0)+3)="","",INDEX('Data družstev'!$A$3:$HH$116,82,MATCH($B$3,'Data družstev'!$A$1:$HH$1,0)+3)),"")</f>
        <v/>
      </c>
      <c r="E88" s="65" t="str">
        <f>IFERROR(IF(INDEX('Data družstev'!$A$3:$HH$116,82,MATCH($B$3,'Data družstev'!$A$1:$HH$1,0)+4)="","",INDEX('Data družstev'!$A$3:$HH$116,82,MATCH($B$3,'Data družstev'!$A$1:$HH$1,0)+4)),"")</f>
        <v/>
      </c>
      <c r="F88" s="53" t="str">
        <f>IFERROR(IF(INDEX('Data družstev'!$A$3:$HH$116,82,MATCH($B$3,'Data družstev'!$A$1:$HH$1,0)+5)="","",INDEX('Data družstev'!$A$3:$HH$116,82,MATCH($B$3,'Data družstev'!$A$1:$HH$1,0)+5)),"")</f>
        <v/>
      </c>
      <c r="G88" s="53" t="str">
        <f>IFERROR(IF(INDEX('Data družstev'!$A$3:$HH$116,82,MATCH($B$3,'Data družstev'!$A$1:$HH$1,0)+6)="","",INDEX('Data družstev'!$A$3:$HH$116,82,MATCH($B$3,'Data družstev'!$A$1:$HH$1,0)+6)),"")</f>
        <v/>
      </c>
      <c r="H88" s="53" t="str">
        <f>IFERROR(IF(INDEX('Data družstev'!$A$3:$HH$116,82,MATCH($B$3,'Data družstev'!$A$1:$HH$1,0)+7)="","",INDEX('Data družstev'!$A$3:$HH$116,82,MATCH($B$3,'Data družstev'!$A$1:$HH$1,0)+7)),"")</f>
        <v/>
      </c>
      <c r="I88" s="53" t="str">
        <f>IFERROR(IF(INDEX('Data družstev'!$A$3:$HH$116,82,MATCH($B$3,'Data družstev'!$A$1:$HH$1,0)+8)="","",INDEX('Data družstev'!$A$3:$HH$116,82,MATCH($B$3,'Data družstev'!$A$1:$HH$1,0)+8)),"")</f>
        <v/>
      </c>
    </row>
    <row r="89" spans="1:9" ht="27.95" customHeight="1" x14ac:dyDescent="0.2">
      <c r="A89" s="62" t="str">
        <f>IFERROR(IF(INDEX('Data družstev'!$A$3:$HH$116,83,MATCH($B$3,'Data družstev'!$A$1:$HH$1,0)+0)="","",INDEX('Data družstev'!$A$3:$HH$116,83,MATCH($B$3,'Data družstev'!$A$1:$HH$1,0)+0)),"")</f>
        <v/>
      </c>
      <c r="B89" s="53" t="str">
        <f>IFERROR(IF(INDEX('Data družstev'!$A$3:$HH$116,83,MATCH($B$3,'Data družstev'!$A$1:$HH$1,0)+1)="","",INDEX('Data družstev'!$A$3:$HH$116,83,MATCH($B$3,'Data družstev'!$A$1:$HH$1,0)+1)),"")</f>
        <v/>
      </c>
      <c r="C89" s="53" t="str">
        <f>IFERROR(IF(INDEX('Data družstev'!$A$3:$HH$116,83,MATCH($B$3,'Data družstev'!$A$1:$HH$1,0)+2)="","",INDEX('Data družstev'!$A$3:$HH$116,83,MATCH($B$3,'Data družstev'!$A$1:$HH$1,0)+2)),"")</f>
        <v/>
      </c>
      <c r="D89" s="53" t="str">
        <f>IFERROR(IF(INDEX('Data družstev'!$A$3:$HH$116,83,MATCH($B$3,'Data družstev'!$A$1:$HH$1,0)+3)="","",INDEX('Data družstev'!$A$3:$HH$116,83,MATCH($B$3,'Data družstev'!$A$1:$HH$1,0)+3)),"")</f>
        <v/>
      </c>
      <c r="E89" s="65" t="str">
        <f>IFERROR(IF(INDEX('Data družstev'!$A$3:$HH$116,83,MATCH($B$3,'Data družstev'!$A$1:$HH$1,0)+4)="","",INDEX('Data družstev'!$A$3:$HH$116,83,MATCH($B$3,'Data družstev'!$A$1:$HH$1,0)+4)),"")</f>
        <v/>
      </c>
      <c r="F89" s="53" t="str">
        <f>IFERROR(IF(INDEX('Data družstev'!$A$3:$HH$116,83,MATCH($B$3,'Data družstev'!$A$1:$HH$1,0)+5)="","",INDEX('Data družstev'!$A$3:$HH$116,83,MATCH($B$3,'Data družstev'!$A$1:$HH$1,0)+5)),"")</f>
        <v/>
      </c>
      <c r="G89" s="53" t="str">
        <f>IFERROR(IF(INDEX('Data družstev'!$A$3:$HH$116,83,MATCH($B$3,'Data družstev'!$A$1:$HH$1,0)+6)="","",INDEX('Data družstev'!$A$3:$HH$116,83,MATCH($B$3,'Data družstev'!$A$1:$HH$1,0)+6)),"")</f>
        <v/>
      </c>
      <c r="H89" s="53" t="str">
        <f>IFERROR(IF(INDEX('Data družstev'!$A$3:$HH$116,83,MATCH($B$3,'Data družstev'!$A$1:$HH$1,0)+7)="","",INDEX('Data družstev'!$A$3:$HH$116,83,MATCH($B$3,'Data družstev'!$A$1:$HH$1,0)+7)),"")</f>
        <v/>
      </c>
      <c r="I89" s="53" t="str">
        <f>IFERROR(IF(INDEX('Data družstev'!$A$3:$HH$116,83,MATCH($B$3,'Data družstev'!$A$1:$HH$1,0)+8)="","",INDEX('Data družstev'!$A$3:$HH$116,83,MATCH($B$3,'Data družstev'!$A$1:$HH$1,0)+8)),"")</f>
        <v/>
      </c>
    </row>
    <row r="90" spans="1:9" ht="27.95" customHeight="1" x14ac:dyDescent="0.2">
      <c r="A90" s="62" t="str">
        <f>IFERROR(IF(INDEX('Data družstev'!$A$3:$HH$116,84,MATCH($B$3,'Data družstev'!$A$1:$HH$1,0)+0)="","",INDEX('Data družstev'!$A$3:$HH$116,84,MATCH($B$3,'Data družstev'!$A$1:$HH$1,0)+0)),"")</f>
        <v/>
      </c>
      <c r="B90" s="53" t="str">
        <f>IFERROR(IF(INDEX('Data družstev'!$A$3:$HH$116,84,MATCH($B$3,'Data družstev'!$A$1:$HH$1,0)+1)="","",INDEX('Data družstev'!$A$3:$HH$116,84,MATCH($B$3,'Data družstev'!$A$1:$HH$1,0)+1)),"")</f>
        <v/>
      </c>
      <c r="C90" s="53" t="str">
        <f>IFERROR(IF(INDEX('Data družstev'!$A$3:$HH$116,84,MATCH($B$3,'Data družstev'!$A$1:$HH$1,0)+2)="","",INDEX('Data družstev'!$A$3:$HH$116,84,MATCH($B$3,'Data družstev'!$A$1:$HH$1,0)+2)),"")</f>
        <v/>
      </c>
      <c r="D90" s="53" t="str">
        <f>IFERROR(IF(INDEX('Data družstev'!$A$3:$HH$116,84,MATCH($B$3,'Data družstev'!$A$1:$HH$1,0)+3)="","",INDEX('Data družstev'!$A$3:$HH$116,84,MATCH($B$3,'Data družstev'!$A$1:$HH$1,0)+3)),"")</f>
        <v/>
      </c>
      <c r="E90" s="65" t="str">
        <f>IFERROR(IF(INDEX('Data družstev'!$A$3:$HH$116,84,MATCH($B$3,'Data družstev'!$A$1:$HH$1,0)+4)="","",INDEX('Data družstev'!$A$3:$HH$116,84,MATCH($B$3,'Data družstev'!$A$1:$HH$1,0)+4)),"")</f>
        <v/>
      </c>
      <c r="F90" s="53" t="str">
        <f>IFERROR(IF(INDEX('Data družstev'!$A$3:$HH$116,84,MATCH($B$3,'Data družstev'!$A$1:$HH$1,0)+5)="","",INDEX('Data družstev'!$A$3:$HH$116,84,MATCH($B$3,'Data družstev'!$A$1:$HH$1,0)+5)),"")</f>
        <v/>
      </c>
      <c r="G90" s="53" t="str">
        <f>IFERROR(IF(INDEX('Data družstev'!$A$3:$HH$116,84,MATCH($B$3,'Data družstev'!$A$1:$HH$1,0)+6)="","",INDEX('Data družstev'!$A$3:$HH$116,84,MATCH($B$3,'Data družstev'!$A$1:$HH$1,0)+6)),"")</f>
        <v/>
      </c>
      <c r="H90" s="53" t="str">
        <f>IFERROR(IF(INDEX('Data družstev'!$A$3:$HH$116,84,MATCH($B$3,'Data družstev'!$A$1:$HH$1,0)+7)="","",INDEX('Data družstev'!$A$3:$HH$116,84,MATCH($B$3,'Data družstev'!$A$1:$HH$1,0)+7)),"")</f>
        <v/>
      </c>
      <c r="I90" s="53" t="str">
        <f>IFERROR(IF(INDEX('Data družstev'!$A$3:$HH$116,84,MATCH($B$3,'Data družstev'!$A$1:$HH$1,0)+8)="","",INDEX('Data družstev'!$A$3:$HH$116,84,MATCH($B$3,'Data družstev'!$A$1:$HH$1,0)+8)),"")</f>
        <v/>
      </c>
    </row>
    <row r="91" spans="1:9" ht="27.95" customHeight="1" x14ac:dyDescent="0.2">
      <c r="A91" s="62" t="str">
        <f>IFERROR(IF(INDEX('Data družstev'!$A$3:$HH$116,85,MATCH($B$3,'Data družstev'!$A$1:$HH$1,0)+0)="","",INDEX('Data družstev'!$A$3:$HH$116,85,MATCH($B$3,'Data družstev'!$A$1:$HH$1,0)+0)),"")</f>
        <v/>
      </c>
      <c r="B91" s="53" t="str">
        <f>IFERROR(IF(INDEX('Data družstev'!$A$3:$HH$116,85,MATCH($B$3,'Data družstev'!$A$1:$HH$1,0)+1)="","",INDEX('Data družstev'!$A$3:$HH$116,85,MATCH($B$3,'Data družstev'!$A$1:$HH$1,0)+1)),"")</f>
        <v/>
      </c>
      <c r="C91" s="53" t="str">
        <f>IFERROR(IF(INDEX('Data družstev'!$A$3:$HH$116,85,MATCH($B$3,'Data družstev'!$A$1:$HH$1,0)+2)="","",INDEX('Data družstev'!$A$3:$HH$116,85,MATCH($B$3,'Data družstev'!$A$1:$HH$1,0)+2)),"")</f>
        <v/>
      </c>
      <c r="D91" s="53" t="str">
        <f>IFERROR(IF(INDEX('Data družstev'!$A$3:$HH$116,85,MATCH($B$3,'Data družstev'!$A$1:$HH$1,0)+3)="","",INDEX('Data družstev'!$A$3:$HH$116,85,MATCH($B$3,'Data družstev'!$A$1:$HH$1,0)+3)),"")</f>
        <v/>
      </c>
      <c r="E91" s="65" t="str">
        <f>IFERROR(IF(INDEX('Data družstev'!$A$3:$HH$116,85,MATCH($B$3,'Data družstev'!$A$1:$HH$1,0)+4)="","",INDEX('Data družstev'!$A$3:$HH$116,85,MATCH($B$3,'Data družstev'!$A$1:$HH$1,0)+4)),"")</f>
        <v/>
      </c>
      <c r="F91" s="53" t="str">
        <f>IFERROR(IF(INDEX('Data družstev'!$A$3:$HH$116,85,MATCH($B$3,'Data družstev'!$A$1:$HH$1,0)+5)="","",INDEX('Data družstev'!$A$3:$HH$116,85,MATCH($B$3,'Data družstev'!$A$1:$HH$1,0)+5)),"")</f>
        <v/>
      </c>
      <c r="G91" s="53" t="str">
        <f>IFERROR(IF(INDEX('Data družstev'!$A$3:$HH$116,85,MATCH($B$3,'Data družstev'!$A$1:$HH$1,0)+6)="","",INDEX('Data družstev'!$A$3:$HH$116,85,MATCH($B$3,'Data družstev'!$A$1:$HH$1,0)+6)),"")</f>
        <v/>
      </c>
      <c r="H91" s="53" t="str">
        <f>IFERROR(IF(INDEX('Data družstev'!$A$3:$HH$116,85,MATCH($B$3,'Data družstev'!$A$1:$HH$1,0)+7)="","",INDEX('Data družstev'!$A$3:$HH$116,85,MATCH($B$3,'Data družstev'!$A$1:$HH$1,0)+7)),"")</f>
        <v/>
      </c>
      <c r="I91" s="53" t="str">
        <f>IFERROR(IF(INDEX('Data družstev'!$A$3:$HH$116,85,MATCH($B$3,'Data družstev'!$A$1:$HH$1,0)+8)="","",INDEX('Data družstev'!$A$3:$HH$116,85,MATCH($B$3,'Data družstev'!$A$1:$HH$1,0)+8)),"")</f>
        <v/>
      </c>
    </row>
    <row r="92" spans="1:9" ht="27.95" customHeight="1" x14ac:dyDescent="0.2">
      <c r="A92" s="62" t="str">
        <f>IFERROR(IF(INDEX('Data družstev'!$A$3:$HH$116,86,MATCH($B$3,'Data družstev'!$A$1:$HH$1,0)+0)="","",INDEX('Data družstev'!$A$3:$HH$116,86,MATCH($B$3,'Data družstev'!$A$1:$HH$1,0)+0)),"")</f>
        <v/>
      </c>
      <c r="B92" s="53" t="str">
        <f>IFERROR(IF(INDEX('Data družstev'!$A$3:$HH$116,86,MATCH($B$3,'Data družstev'!$A$1:$HH$1,0)+1)="","",INDEX('Data družstev'!$A$3:$HH$116,86,MATCH($B$3,'Data družstev'!$A$1:$HH$1,0)+1)),"")</f>
        <v/>
      </c>
      <c r="C92" s="53" t="str">
        <f>IFERROR(IF(INDEX('Data družstev'!$A$3:$HH$116,86,MATCH($B$3,'Data družstev'!$A$1:$HH$1,0)+2)="","",INDEX('Data družstev'!$A$3:$HH$116,86,MATCH($B$3,'Data družstev'!$A$1:$HH$1,0)+2)),"")</f>
        <v/>
      </c>
      <c r="D92" s="53" t="str">
        <f>IFERROR(IF(INDEX('Data družstev'!$A$3:$HH$116,86,MATCH($B$3,'Data družstev'!$A$1:$HH$1,0)+3)="","",INDEX('Data družstev'!$A$3:$HH$116,86,MATCH($B$3,'Data družstev'!$A$1:$HH$1,0)+3)),"")</f>
        <v/>
      </c>
      <c r="E92" s="65" t="str">
        <f>IFERROR(IF(INDEX('Data družstev'!$A$3:$HH$116,86,MATCH($B$3,'Data družstev'!$A$1:$HH$1,0)+4)="","",INDEX('Data družstev'!$A$3:$HH$116,86,MATCH($B$3,'Data družstev'!$A$1:$HH$1,0)+4)),"")</f>
        <v/>
      </c>
      <c r="F92" s="53" t="str">
        <f>IFERROR(IF(INDEX('Data družstev'!$A$3:$HH$116,86,MATCH($B$3,'Data družstev'!$A$1:$HH$1,0)+5)="","",INDEX('Data družstev'!$A$3:$HH$116,86,MATCH($B$3,'Data družstev'!$A$1:$HH$1,0)+5)),"")</f>
        <v/>
      </c>
      <c r="G92" s="53" t="str">
        <f>IFERROR(IF(INDEX('Data družstev'!$A$3:$HH$116,86,MATCH($B$3,'Data družstev'!$A$1:$HH$1,0)+6)="","",INDEX('Data družstev'!$A$3:$HH$116,86,MATCH($B$3,'Data družstev'!$A$1:$HH$1,0)+6)),"")</f>
        <v/>
      </c>
      <c r="H92" s="53" t="str">
        <f>IFERROR(IF(INDEX('Data družstev'!$A$3:$HH$116,86,MATCH($B$3,'Data družstev'!$A$1:$HH$1,0)+7)="","",INDEX('Data družstev'!$A$3:$HH$116,86,MATCH($B$3,'Data družstev'!$A$1:$HH$1,0)+7)),"")</f>
        <v/>
      </c>
      <c r="I92" s="53" t="str">
        <f>IFERROR(IF(INDEX('Data družstev'!$A$3:$HH$116,86,MATCH($B$3,'Data družstev'!$A$1:$HH$1,0)+8)="","",INDEX('Data družstev'!$A$3:$HH$116,86,MATCH($B$3,'Data družstev'!$A$1:$HH$1,0)+8)),"")</f>
        <v/>
      </c>
    </row>
    <row r="93" spans="1:9" ht="27.95" customHeight="1" x14ac:dyDescent="0.2">
      <c r="A93" s="62" t="str">
        <f>IFERROR(IF(INDEX('Data družstev'!$A$3:$HH$116,87,MATCH($B$3,'Data družstev'!$A$1:$HH$1,0)+0)="","",INDEX('Data družstev'!$A$3:$HH$116,87,MATCH($B$3,'Data družstev'!$A$1:$HH$1,0)+0)),"")</f>
        <v/>
      </c>
      <c r="B93" s="53" t="str">
        <f>IFERROR(IF(INDEX('Data družstev'!$A$3:$HH$116,87,MATCH($B$3,'Data družstev'!$A$1:$HH$1,0)+1)="","",INDEX('Data družstev'!$A$3:$HH$116,87,MATCH($B$3,'Data družstev'!$A$1:$HH$1,0)+1)),"")</f>
        <v/>
      </c>
      <c r="C93" s="53" t="str">
        <f>IFERROR(IF(INDEX('Data družstev'!$A$3:$HH$116,87,MATCH($B$3,'Data družstev'!$A$1:$HH$1,0)+2)="","",INDEX('Data družstev'!$A$3:$HH$116,87,MATCH($B$3,'Data družstev'!$A$1:$HH$1,0)+2)),"")</f>
        <v/>
      </c>
      <c r="D93" s="53" t="str">
        <f>IFERROR(IF(INDEX('Data družstev'!$A$3:$HH$116,87,MATCH($B$3,'Data družstev'!$A$1:$HH$1,0)+3)="","",INDEX('Data družstev'!$A$3:$HH$116,87,MATCH($B$3,'Data družstev'!$A$1:$HH$1,0)+3)),"")</f>
        <v/>
      </c>
      <c r="E93" s="65" t="str">
        <f>IFERROR(IF(INDEX('Data družstev'!$A$3:$HH$116,87,MATCH($B$3,'Data družstev'!$A$1:$HH$1,0)+4)="","",INDEX('Data družstev'!$A$3:$HH$116,87,MATCH($B$3,'Data družstev'!$A$1:$HH$1,0)+4)),"")</f>
        <v/>
      </c>
      <c r="F93" s="53" t="str">
        <f>IFERROR(IF(INDEX('Data družstev'!$A$3:$HH$116,87,MATCH($B$3,'Data družstev'!$A$1:$HH$1,0)+5)="","",INDEX('Data družstev'!$A$3:$HH$116,87,MATCH($B$3,'Data družstev'!$A$1:$HH$1,0)+5)),"")</f>
        <v/>
      </c>
      <c r="G93" s="53" t="str">
        <f>IFERROR(IF(INDEX('Data družstev'!$A$3:$HH$116,87,MATCH($B$3,'Data družstev'!$A$1:$HH$1,0)+6)="","",INDEX('Data družstev'!$A$3:$HH$116,87,MATCH($B$3,'Data družstev'!$A$1:$HH$1,0)+6)),"")</f>
        <v/>
      </c>
      <c r="H93" s="53" t="str">
        <f>IFERROR(IF(INDEX('Data družstev'!$A$3:$HH$116,87,MATCH($B$3,'Data družstev'!$A$1:$HH$1,0)+7)="","",INDEX('Data družstev'!$A$3:$HH$116,87,MATCH($B$3,'Data družstev'!$A$1:$HH$1,0)+7)),"")</f>
        <v/>
      </c>
      <c r="I93" s="53" t="str">
        <f>IFERROR(IF(INDEX('Data družstev'!$A$3:$HH$116,87,MATCH($B$3,'Data družstev'!$A$1:$HH$1,0)+8)="","",INDEX('Data družstev'!$A$3:$HH$116,87,MATCH($B$3,'Data družstev'!$A$1:$HH$1,0)+8)),"")</f>
        <v/>
      </c>
    </row>
    <row r="94" spans="1:9" ht="27.95" customHeight="1" x14ac:dyDescent="0.2">
      <c r="A94" s="62" t="str">
        <f>IFERROR(IF(INDEX('Data družstev'!$A$3:$HH$116,88,MATCH($B$3,'Data družstev'!$A$1:$HH$1,0)+0)="","",INDEX('Data družstev'!$A$3:$HH$116,88,MATCH($B$3,'Data družstev'!$A$1:$HH$1,0)+0)),"")</f>
        <v/>
      </c>
      <c r="B94" s="53" t="str">
        <f>IFERROR(IF(INDEX('Data družstev'!$A$3:$HH$116,88,MATCH($B$3,'Data družstev'!$A$1:$HH$1,0)+1)="","",INDEX('Data družstev'!$A$3:$HH$116,88,MATCH($B$3,'Data družstev'!$A$1:$HH$1,0)+1)),"")</f>
        <v/>
      </c>
      <c r="C94" s="53" t="str">
        <f>IFERROR(IF(INDEX('Data družstev'!$A$3:$HH$116,88,MATCH($B$3,'Data družstev'!$A$1:$HH$1,0)+2)="","",INDEX('Data družstev'!$A$3:$HH$116,88,MATCH($B$3,'Data družstev'!$A$1:$HH$1,0)+2)),"")</f>
        <v/>
      </c>
      <c r="D94" s="53" t="str">
        <f>IFERROR(IF(INDEX('Data družstev'!$A$3:$HH$116,88,MATCH($B$3,'Data družstev'!$A$1:$HH$1,0)+3)="","",INDEX('Data družstev'!$A$3:$HH$116,88,MATCH($B$3,'Data družstev'!$A$1:$HH$1,0)+3)),"")</f>
        <v/>
      </c>
      <c r="E94" s="65" t="str">
        <f>IFERROR(IF(INDEX('Data družstev'!$A$3:$HH$116,88,MATCH($B$3,'Data družstev'!$A$1:$HH$1,0)+4)="","",INDEX('Data družstev'!$A$3:$HH$116,88,MATCH($B$3,'Data družstev'!$A$1:$HH$1,0)+4)),"")</f>
        <v/>
      </c>
      <c r="F94" s="53" t="str">
        <f>IFERROR(IF(INDEX('Data družstev'!$A$3:$HH$116,88,MATCH($B$3,'Data družstev'!$A$1:$HH$1,0)+5)="","",INDEX('Data družstev'!$A$3:$HH$116,88,MATCH($B$3,'Data družstev'!$A$1:$HH$1,0)+5)),"")</f>
        <v/>
      </c>
      <c r="G94" s="53" t="str">
        <f>IFERROR(IF(INDEX('Data družstev'!$A$3:$HH$116,88,MATCH($B$3,'Data družstev'!$A$1:$HH$1,0)+6)="","",INDEX('Data družstev'!$A$3:$HH$116,88,MATCH($B$3,'Data družstev'!$A$1:$HH$1,0)+6)),"")</f>
        <v/>
      </c>
      <c r="H94" s="53" t="str">
        <f>IFERROR(IF(INDEX('Data družstev'!$A$3:$HH$116,88,MATCH($B$3,'Data družstev'!$A$1:$HH$1,0)+7)="","",INDEX('Data družstev'!$A$3:$HH$116,88,MATCH($B$3,'Data družstev'!$A$1:$HH$1,0)+7)),"")</f>
        <v/>
      </c>
      <c r="I94" s="53" t="str">
        <f>IFERROR(IF(INDEX('Data družstev'!$A$3:$HH$116,88,MATCH($B$3,'Data družstev'!$A$1:$HH$1,0)+8)="","",INDEX('Data družstev'!$A$3:$HH$116,88,MATCH($B$3,'Data družstev'!$A$1:$HH$1,0)+8)),"")</f>
        <v/>
      </c>
    </row>
    <row r="95" spans="1:9" ht="27.95" customHeight="1" x14ac:dyDescent="0.2">
      <c r="A95" s="62" t="str">
        <f>IFERROR(IF(INDEX('Data družstev'!$A$3:$HH$116,89,MATCH($B$3,'Data družstev'!$A$1:$HH$1,0)+0)="","",INDEX('Data družstev'!$A$3:$HH$116,89,MATCH($B$3,'Data družstev'!$A$1:$HH$1,0)+0)),"")</f>
        <v/>
      </c>
      <c r="B95" s="53" t="str">
        <f>IFERROR(IF(INDEX('Data družstev'!$A$3:$HH$116,89,MATCH($B$3,'Data družstev'!$A$1:$HH$1,0)+1)="","",INDEX('Data družstev'!$A$3:$HH$116,89,MATCH($B$3,'Data družstev'!$A$1:$HH$1,0)+1)),"")</f>
        <v/>
      </c>
      <c r="C95" s="53" t="str">
        <f>IFERROR(IF(INDEX('Data družstev'!$A$3:$HH$116,89,MATCH($B$3,'Data družstev'!$A$1:$HH$1,0)+2)="","",INDEX('Data družstev'!$A$3:$HH$116,89,MATCH($B$3,'Data družstev'!$A$1:$HH$1,0)+2)),"")</f>
        <v/>
      </c>
      <c r="D95" s="53" t="str">
        <f>IFERROR(IF(INDEX('Data družstev'!$A$3:$HH$116,89,MATCH($B$3,'Data družstev'!$A$1:$HH$1,0)+3)="","",INDEX('Data družstev'!$A$3:$HH$116,89,MATCH($B$3,'Data družstev'!$A$1:$HH$1,0)+3)),"")</f>
        <v/>
      </c>
      <c r="E95" s="65" t="str">
        <f>IFERROR(IF(INDEX('Data družstev'!$A$3:$HH$116,89,MATCH($B$3,'Data družstev'!$A$1:$HH$1,0)+4)="","",INDEX('Data družstev'!$A$3:$HH$116,89,MATCH($B$3,'Data družstev'!$A$1:$HH$1,0)+4)),"")</f>
        <v/>
      </c>
      <c r="F95" s="53" t="str">
        <f>IFERROR(IF(INDEX('Data družstev'!$A$3:$HH$116,89,MATCH($B$3,'Data družstev'!$A$1:$HH$1,0)+5)="","",INDEX('Data družstev'!$A$3:$HH$116,89,MATCH($B$3,'Data družstev'!$A$1:$HH$1,0)+5)),"")</f>
        <v/>
      </c>
      <c r="G95" s="53" t="str">
        <f>IFERROR(IF(INDEX('Data družstev'!$A$3:$HH$116,89,MATCH($B$3,'Data družstev'!$A$1:$HH$1,0)+6)="","",INDEX('Data družstev'!$A$3:$HH$116,89,MATCH($B$3,'Data družstev'!$A$1:$HH$1,0)+6)),"")</f>
        <v/>
      </c>
      <c r="H95" s="53" t="str">
        <f>IFERROR(IF(INDEX('Data družstev'!$A$3:$HH$116,89,MATCH($B$3,'Data družstev'!$A$1:$HH$1,0)+7)="","",INDEX('Data družstev'!$A$3:$HH$116,89,MATCH($B$3,'Data družstev'!$A$1:$HH$1,0)+7)),"")</f>
        <v/>
      </c>
      <c r="I95" s="53" t="str">
        <f>IFERROR(IF(INDEX('Data družstev'!$A$3:$HH$116,89,MATCH($B$3,'Data družstev'!$A$1:$HH$1,0)+8)="","",INDEX('Data družstev'!$A$3:$HH$116,89,MATCH($B$3,'Data družstev'!$A$1:$HH$1,0)+8)),"")</f>
        <v/>
      </c>
    </row>
    <row r="96" spans="1:9" ht="27.95" customHeight="1" x14ac:dyDescent="0.2">
      <c r="A96" s="62" t="str">
        <f>IFERROR(IF(INDEX('Data družstev'!$A$3:$HH$116,90,MATCH($B$3,'Data družstev'!$A$1:$HH$1,0)+0)="","",INDEX('Data družstev'!$A$3:$HH$116,90,MATCH($B$3,'Data družstev'!$A$1:$HH$1,0)+0)),"")</f>
        <v/>
      </c>
      <c r="B96" s="53" t="str">
        <f>IFERROR(IF(INDEX('Data družstev'!$A$3:$HH$116,90,MATCH($B$3,'Data družstev'!$A$1:$HH$1,0)+1)="","",INDEX('Data družstev'!$A$3:$HH$116,90,MATCH($B$3,'Data družstev'!$A$1:$HH$1,0)+1)),"")</f>
        <v/>
      </c>
      <c r="C96" s="53" t="str">
        <f>IFERROR(IF(INDEX('Data družstev'!$A$3:$HH$116,90,MATCH($B$3,'Data družstev'!$A$1:$HH$1,0)+2)="","",INDEX('Data družstev'!$A$3:$HH$116,90,MATCH($B$3,'Data družstev'!$A$1:$HH$1,0)+2)),"")</f>
        <v/>
      </c>
      <c r="D96" s="53" t="str">
        <f>IFERROR(IF(INDEX('Data družstev'!$A$3:$HH$116,90,MATCH($B$3,'Data družstev'!$A$1:$HH$1,0)+3)="","",INDEX('Data družstev'!$A$3:$HH$116,90,MATCH($B$3,'Data družstev'!$A$1:$HH$1,0)+3)),"")</f>
        <v/>
      </c>
      <c r="E96" s="65" t="str">
        <f>IFERROR(IF(INDEX('Data družstev'!$A$3:$HH$116,90,MATCH($B$3,'Data družstev'!$A$1:$HH$1,0)+4)="","",INDEX('Data družstev'!$A$3:$HH$116,90,MATCH($B$3,'Data družstev'!$A$1:$HH$1,0)+4)),"")</f>
        <v/>
      </c>
      <c r="F96" s="53" t="str">
        <f>IFERROR(IF(INDEX('Data družstev'!$A$3:$HH$116,90,MATCH($B$3,'Data družstev'!$A$1:$HH$1,0)+5)="","",INDEX('Data družstev'!$A$3:$HH$116,90,MATCH($B$3,'Data družstev'!$A$1:$HH$1,0)+5)),"")</f>
        <v/>
      </c>
      <c r="G96" s="53" t="str">
        <f>IFERROR(IF(INDEX('Data družstev'!$A$3:$HH$116,90,MATCH($B$3,'Data družstev'!$A$1:$HH$1,0)+6)="","",INDEX('Data družstev'!$A$3:$HH$116,90,MATCH($B$3,'Data družstev'!$A$1:$HH$1,0)+6)),"")</f>
        <v/>
      </c>
      <c r="H96" s="53" t="str">
        <f>IFERROR(IF(INDEX('Data družstev'!$A$3:$HH$116,90,MATCH($B$3,'Data družstev'!$A$1:$HH$1,0)+7)="","",INDEX('Data družstev'!$A$3:$HH$116,90,MATCH($B$3,'Data družstev'!$A$1:$HH$1,0)+7)),"")</f>
        <v/>
      </c>
      <c r="I96" s="53" t="str">
        <f>IFERROR(IF(INDEX('Data družstev'!$A$3:$HH$116,90,MATCH($B$3,'Data družstev'!$A$1:$HH$1,0)+8)="","",INDEX('Data družstev'!$A$3:$HH$116,90,MATCH($B$3,'Data družstev'!$A$1:$HH$1,0)+8)),"")</f>
        <v/>
      </c>
    </row>
    <row r="97" spans="1:9" ht="27.95" customHeight="1" x14ac:dyDescent="0.2">
      <c r="A97" s="62" t="str">
        <f>IFERROR(IF(INDEX('Data družstev'!$A$3:$HH$116,91,MATCH($B$3,'Data družstev'!$A$1:$HH$1,0)+0)="","",INDEX('Data družstev'!$A$3:$HH$116,91,MATCH($B$3,'Data družstev'!$A$1:$HH$1,0)+0)),"")</f>
        <v/>
      </c>
      <c r="B97" s="53" t="str">
        <f>IFERROR(IF(INDEX('Data družstev'!$A$3:$HH$116,91,MATCH($B$3,'Data družstev'!$A$1:$HH$1,0)+1)="","",INDEX('Data družstev'!$A$3:$HH$116,91,MATCH($B$3,'Data družstev'!$A$1:$HH$1,0)+1)),"")</f>
        <v/>
      </c>
      <c r="C97" s="53" t="str">
        <f>IFERROR(IF(INDEX('Data družstev'!$A$3:$HH$116,91,MATCH($B$3,'Data družstev'!$A$1:$HH$1,0)+2)="","",INDEX('Data družstev'!$A$3:$HH$116,91,MATCH($B$3,'Data družstev'!$A$1:$HH$1,0)+2)),"")</f>
        <v/>
      </c>
      <c r="D97" s="53" t="str">
        <f>IFERROR(IF(INDEX('Data družstev'!$A$3:$HH$116,91,MATCH($B$3,'Data družstev'!$A$1:$HH$1,0)+3)="","",INDEX('Data družstev'!$A$3:$HH$116,91,MATCH($B$3,'Data družstev'!$A$1:$HH$1,0)+3)),"")</f>
        <v/>
      </c>
      <c r="E97" s="65" t="str">
        <f>IFERROR(IF(INDEX('Data družstev'!$A$3:$HH$116,91,MATCH($B$3,'Data družstev'!$A$1:$HH$1,0)+4)="","",INDEX('Data družstev'!$A$3:$HH$116,91,MATCH($B$3,'Data družstev'!$A$1:$HH$1,0)+4)),"")</f>
        <v/>
      </c>
      <c r="F97" s="53" t="str">
        <f>IFERROR(IF(INDEX('Data družstev'!$A$3:$HH$116,91,MATCH($B$3,'Data družstev'!$A$1:$HH$1,0)+5)="","",INDEX('Data družstev'!$A$3:$HH$116,91,MATCH($B$3,'Data družstev'!$A$1:$HH$1,0)+5)),"")</f>
        <v/>
      </c>
      <c r="G97" s="53" t="str">
        <f>IFERROR(IF(INDEX('Data družstev'!$A$3:$HH$116,91,MATCH($B$3,'Data družstev'!$A$1:$HH$1,0)+6)="","",INDEX('Data družstev'!$A$3:$HH$116,91,MATCH($B$3,'Data družstev'!$A$1:$HH$1,0)+6)),"")</f>
        <v/>
      </c>
      <c r="H97" s="53" t="str">
        <f>IFERROR(IF(INDEX('Data družstev'!$A$3:$HH$116,91,MATCH($B$3,'Data družstev'!$A$1:$HH$1,0)+7)="","",INDEX('Data družstev'!$A$3:$HH$116,91,MATCH($B$3,'Data družstev'!$A$1:$HH$1,0)+7)),"")</f>
        <v/>
      </c>
      <c r="I97" s="53" t="str">
        <f>IFERROR(IF(INDEX('Data družstev'!$A$3:$HH$116,91,MATCH($B$3,'Data družstev'!$A$1:$HH$1,0)+8)="","",INDEX('Data družstev'!$A$3:$HH$116,91,MATCH($B$3,'Data družstev'!$A$1:$HH$1,0)+8)),"")</f>
        <v/>
      </c>
    </row>
    <row r="98" spans="1:9" ht="27.95" customHeight="1" x14ac:dyDescent="0.2">
      <c r="A98" s="62" t="str">
        <f>IFERROR(IF(INDEX('Data družstev'!$A$3:$HH$116,92,MATCH($B$3,'Data družstev'!$A$1:$HH$1,0)+0)="","",INDEX('Data družstev'!$A$3:$HH$116,92,MATCH($B$3,'Data družstev'!$A$1:$HH$1,0)+0)),"")</f>
        <v/>
      </c>
      <c r="B98" s="53" t="str">
        <f>IFERROR(IF(INDEX('Data družstev'!$A$3:$HH$116,92,MATCH($B$3,'Data družstev'!$A$1:$HH$1,0)+1)="","",INDEX('Data družstev'!$A$3:$HH$116,92,MATCH($B$3,'Data družstev'!$A$1:$HH$1,0)+1)),"")</f>
        <v/>
      </c>
      <c r="C98" s="53" t="str">
        <f>IFERROR(IF(INDEX('Data družstev'!$A$3:$HH$116,92,MATCH($B$3,'Data družstev'!$A$1:$HH$1,0)+2)="","",INDEX('Data družstev'!$A$3:$HH$116,92,MATCH($B$3,'Data družstev'!$A$1:$HH$1,0)+2)),"")</f>
        <v/>
      </c>
      <c r="D98" s="53" t="str">
        <f>IFERROR(IF(INDEX('Data družstev'!$A$3:$HH$116,92,MATCH($B$3,'Data družstev'!$A$1:$HH$1,0)+3)="","",INDEX('Data družstev'!$A$3:$HH$116,92,MATCH($B$3,'Data družstev'!$A$1:$HH$1,0)+3)),"")</f>
        <v/>
      </c>
      <c r="E98" s="65" t="str">
        <f>IFERROR(IF(INDEX('Data družstev'!$A$3:$HH$116,92,MATCH($B$3,'Data družstev'!$A$1:$HH$1,0)+4)="","",INDEX('Data družstev'!$A$3:$HH$116,92,MATCH($B$3,'Data družstev'!$A$1:$HH$1,0)+4)),"")</f>
        <v/>
      </c>
      <c r="F98" s="53" t="str">
        <f>IFERROR(IF(INDEX('Data družstev'!$A$3:$HH$116,92,MATCH($B$3,'Data družstev'!$A$1:$HH$1,0)+5)="","",INDEX('Data družstev'!$A$3:$HH$116,92,MATCH($B$3,'Data družstev'!$A$1:$HH$1,0)+5)),"")</f>
        <v/>
      </c>
      <c r="G98" s="53" t="str">
        <f>IFERROR(IF(INDEX('Data družstev'!$A$3:$HH$116,92,MATCH($B$3,'Data družstev'!$A$1:$HH$1,0)+6)="","",INDEX('Data družstev'!$A$3:$HH$116,92,MATCH($B$3,'Data družstev'!$A$1:$HH$1,0)+6)),"")</f>
        <v/>
      </c>
      <c r="H98" s="53" t="str">
        <f>IFERROR(IF(INDEX('Data družstev'!$A$3:$HH$116,92,MATCH($B$3,'Data družstev'!$A$1:$HH$1,0)+7)="","",INDEX('Data družstev'!$A$3:$HH$116,92,MATCH($B$3,'Data družstev'!$A$1:$HH$1,0)+7)),"")</f>
        <v/>
      </c>
      <c r="I98" s="53" t="str">
        <f>IFERROR(IF(INDEX('Data družstev'!$A$3:$HH$116,92,MATCH($B$3,'Data družstev'!$A$1:$HH$1,0)+8)="","",INDEX('Data družstev'!$A$3:$HH$116,92,MATCH($B$3,'Data družstev'!$A$1:$HH$1,0)+8)),"")</f>
        <v/>
      </c>
    </row>
    <row r="99" spans="1:9" ht="27.95" customHeight="1" x14ac:dyDescent="0.2">
      <c r="A99" s="62" t="str">
        <f>IFERROR(IF(INDEX('Data družstev'!$A$3:$HH$116,93,MATCH($B$3,'Data družstev'!$A$1:$HH$1,0)+0)="","",INDEX('Data družstev'!$A$3:$HH$116,93,MATCH($B$3,'Data družstev'!$A$1:$HH$1,0)+0)),"")</f>
        <v/>
      </c>
      <c r="B99" s="53" t="str">
        <f>IFERROR(IF(INDEX('Data družstev'!$A$3:$HH$116,93,MATCH($B$3,'Data družstev'!$A$1:$HH$1,0)+1)="","",INDEX('Data družstev'!$A$3:$HH$116,93,MATCH($B$3,'Data družstev'!$A$1:$HH$1,0)+1)),"")</f>
        <v/>
      </c>
      <c r="C99" s="53" t="str">
        <f>IFERROR(IF(INDEX('Data družstev'!$A$3:$HH$116,93,MATCH($B$3,'Data družstev'!$A$1:$HH$1,0)+2)="","",INDEX('Data družstev'!$A$3:$HH$116,93,MATCH($B$3,'Data družstev'!$A$1:$HH$1,0)+2)),"")</f>
        <v/>
      </c>
      <c r="D99" s="53" t="str">
        <f>IFERROR(IF(INDEX('Data družstev'!$A$3:$HH$116,93,MATCH($B$3,'Data družstev'!$A$1:$HH$1,0)+3)="","",INDEX('Data družstev'!$A$3:$HH$116,93,MATCH($B$3,'Data družstev'!$A$1:$HH$1,0)+3)),"")</f>
        <v/>
      </c>
      <c r="E99" s="65" t="str">
        <f>IFERROR(IF(INDEX('Data družstev'!$A$3:$HH$116,93,MATCH($B$3,'Data družstev'!$A$1:$HH$1,0)+4)="","",INDEX('Data družstev'!$A$3:$HH$116,93,MATCH($B$3,'Data družstev'!$A$1:$HH$1,0)+4)),"")</f>
        <v/>
      </c>
      <c r="F99" s="53" t="str">
        <f>IFERROR(IF(INDEX('Data družstev'!$A$3:$HH$116,93,MATCH($B$3,'Data družstev'!$A$1:$HH$1,0)+5)="","",INDEX('Data družstev'!$A$3:$HH$116,93,MATCH($B$3,'Data družstev'!$A$1:$HH$1,0)+5)),"")</f>
        <v/>
      </c>
      <c r="G99" s="53" t="str">
        <f>IFERROR(IF(INDEX('Data družstev'!$A$3:$HH$116,93,MATCH($B$3,'Data družstev'!$A$1:$HH$1,0)+6)="","",INDEX('Data družstev'!$A$3:$HH$116,93,MATCH($B$3,'Data družstev'!$A$1:$HH$1,0)+6)),"")</f>
        <v/>
      </c>
      <c r="H99" s="53" t="str">
        <f>IFERROR(IF(INDEX('Data družstev'!$A$3:$HH$116,93,MATCH($B$3,'Data družstev'!$A$1:$HH$1,0)+7)="","",INDEX('Data družstev'!$A$3:$HH$116,93,MATCH($B$3,'Data družstev'!$A$1:$HH$1,0)+7)),"")</f>
        <v/>
      </c>
      <c r="I99" s="53" t="str">
        <f>IFERROR(IF(INDEX('Data družstev'!$A$3:$HH$116,93,MATCH($B$3,'Data družstev'!$A$1:$HH$1,0)+8)="","",INDEX('Data družstev'!$A$3:$HH$116,93,MATCH($B$3,'Data družstev'!$A$1:$HH$1,0)+8)),"")</f>
        <v/>
      </c>
    </row>
    <row r="100" spans="1:9" ht="27.95" customHeight="1" x14ac:dyDescent="0.2">
      <c r="A100" s="62" t="str">
        <f>IFERROR(IF(INDEX('Data družstev'!$A$3:$HH$116,94,MATCH($B$3,'Data družstev'!$A$1:$HH$1,0)+0)="","",INDEX('Data družstev'!$A$3:$HH$116,94,MATCH($B$3,'Data družstev'!$A$1:$HH$1,0)+0)),"")</f>
        <v/>
      </c>
      <c r="B100" s="53" t="str">
        <f>IFERROR(IF(INDEX('Data družstev'!$A$3:$HH$116,94,MATCH($B$3,'Data družstev'!$A$1:$HH$1,0)+1)="","",INDEX('Data družstev'!$A$3:$HH$116,94,MATCH($B$3,'Data družstev'!$A$1:$HH$1,0)+1)),"")</f>
        <v/>
      </c>
      <c r="C100" s="53" t="str">
        <f>IFERROR(IF(INDEX('Data družstev'!$A$3:$HH$116,94,MATCH($B$3,'Data družstev'!$A$1:$HH$1,0)+2)="","",INDEX('Data družstev'!$A$3:$HH$116,94,MATCH($B$3,'Data družstev'!$A$1:$HH$1,0)+2)),"")</f>
        <v/>
      </c>
      <c r="D100" s="53" t="str">
        <f>IFERROR(IF(INDEX('Data družstev'!$A$3:$HH$116,94,MATCH($B$3,'Data družstev'!$A$1:$HH$1,0)+3)="","",INDEX('Data družstev'!$A$3:$HH$116,94,MATCH($B$3,'Data družstev'!$A$1:$HH$1,0)+3)),"")</f>
        <v/>
      </c>
      <c r="E100" s="65" t="str">
        <f>IFERROR(IF(INDEX('Data družstev'!$A$3:$HH$116,94,MATCH($B$3,'Data družstev'!$A$1:$HH$1,0)+4)="","",INDEX('Data družstev'!$A$3:$HH$116,94,MATCH($B$3,'Data družstev'!$A$1:$HH$1,0)+4)),"")</f>
        <v/>
      </c>
      <c r="F100" s="53" t="str">
        <f>IFERROR(IF(INDEX('Data družstev'!$A$3:$HH$116,94,MATCH($B$3,'Data družstev'!$A$1:$HH$1,0)+5)="","",INDEX('Data družstev'!$A$3:$HH$116,94,MATCH($B$3,'Data družstev'!$A$1:$HH$1,0)+5)),"")</f>
        <v/>
      </c>
      <c r="G100" s="53" t="str">
        <f>IFERROR(IF(INDEX('Data družstev'!$A$3:$HH$116,94,MATCH($B$3,'Data družstev'!$A$1:$HH$1,0)+6)="","",INDEX('Data družstev'!$A$3:$HH$116,94,MATCH($B$3,'Data družstev'!$A$1:$HH$1,0)+6)),"")</f>
        <v/>
      </c>
      <c r="H100" s="53" t="str">
        <f>IFERROR(IF(INDEX('Data družstev'!$A$3:$HH$116,94,MATCH($B$3,'Data družstev'!$A$1:$HH$1,0)+7)="","",INDEX('Data družstev'!$A$3:$HH$116,94,MATCH($B$3,'Data družstev'!$A$1:$HH$1,0)+7)),"")</f>
        <v/>
      </c>
      <c r="I100" s="53" t="str">
        <f>IFERROR(IF(INDEX('Data družstev'!$A$3:$HH$116,94,MATCH($B$3,'Data družstev'!$A$1:$HH$1,0)+8)="","",INDEX('Data družstev'!$A$3:$HH$116,94,MATCH($B$3,'Data družstev'!$A$1:$HH$1,0)+8)),"")</f>
        <v/>
      </c>
    </row>
    <row r="101" spans="1:9" ht="27.95" customHeight="1" x14ac:dyDescent="0.2">
      <c r="A101" s="62" t="str">
        <f>IFERROR(IF(INDEX('Data družstev'!$A$3:$HH$116,95,MATCH($B$3,'Data družstev'!$A$1:$HH$1,0)+0)="","",INDEX('Data družstev'!$A$3:$HH$116,95,MATCH($B$3,'Data družstev'!$A$1:$HH$1,0)+0)),"")</f>
        <v/>
      </c>
      <c r="B101" s="53" t="str">
        <f>IFERROR(IF(INDEX('Data družstev'!$A$3:$HH$116,95,MATCH($B$3,'Data družstev'!$A$1:$HH$1,0)+1)="","",INDEX('Data družstev'!$A$3:$HH$116,95,MATCH($B$3,'Data družstev'!$A$1:$HH$1,0)+1)),"")</f>
        <v/>
      </c>
      <c r="C101" s="53" t="str">
        <f>IFERROR(IF(INDEX('Data družstev'!$A$3:$HH$116,95,MATCH($B$3,'Data družstev'!$A$1:$HH$1,0)+2)="","",INDEX('Data družstev'!$A$3:$HH$116,95,MATCH($B$3,'Data družstev'!$A$1:$HH$1,0)+2)),"")</f>
        <v/>
      </c>
      <c r="D101" s="53" t="str">
        <f>IFERROR(IF(INDEX('Data družstev'!$A$3:$HH$116,95,MATCH($B$3,'Data družstev'!$A$1:$HH$1,0)+3)="","",INDEX('Data družstev'!$A$3:$HH$116,95,MATCH($B$3,'Data družstev'!$A$1:$HH$1,0)+3)),"")</f>
        <v/>
      </c>
      <c r="E101" s="65" t="str">
        <f>IFERROR(IF(INDEX('Data družstev'!$A$3:$HH$116,95,MATCH($B$3,'Data družstev'!$A$1:$HH$1,0)+4)="","",INDEX('Data družstev'!$A$3:$HH$116,95,MATCH($B$3,'Data družstev'!$A$1:$HH$1,0)+4)),"")</f>
        <v/>
      </c>
      <c r="F101" s="53" t="str">
        <f>IFERROR(IF(INDEX('Data družstev'!$A$3:$HH$116,95,MATCH($B$3,'Data družstev'!$A$1:$HH$1,0)+5)="","",INDEX('Data družstev'!$A$3:$HH$116,95,MATCH($B$3,'Data družstev'!$A$1:$HH$1,0)+5)),"")</f>
        <v/>
      </c>
      <c r="G101" s="53" t="str">
        <f>IFERROR(IF(INDEX('Data družstev'!$A$3:$HH$116,95,MATCH($B$3,'Data družstev'!$A$1:$HH$1,0)+6)="","",INDEX('Data družstev'!$A$3:$HH$116,95,MATCH($B$3,'Data družstev'!$A$1:$HH$1,0)+6)),"")</f>
        <v/>
      </c>
      <c r="H101" s="53" t="str">
        <f>IFERROR(IF(INDEX('Data družstev'!$A$3:$HH$116,95,MATCH($B$3,'Data družstev'!$A$1:$HH$1,0)+7)="","",INDEX('Data družstev'!$A$3:$HH$116,95,MATCH($B$3,'Data družstev'!$A$1:$HH$1,0)+7)),"")</f>
        <v/>
      </c>
      <c r="I101" s="53" t="str">
        <f>IFERROR(IF(INDEX('Data družstev'!$A$3:$HH$116,95,MATCH($B$3,'Data družstev'!$A$1:$HH$1,0)+8)="","",INDEX('Data družstev'!$A$3:$HH$116,95,MATCH($B$3,'Data družstev'!$A$1:$HH$1,0)+8)),"")</f>
        <v/>
      </c>
    </row>
    <row r="102" spans="1:9" ht="27.95" customHeight="1" x14ac:dyDescent="0.2">
      <c r="A102" s="62" t="str">
        <f>IFERROR(IF(INDEX('Data družstev'!$A$3:$HH$116,96,MATCH($B$3,'Data družstev'!$A$1:$HH$1,0)+0)="","",INDEX('Data družstev'!$A$3:$HH$116,96,MATCH($B$3,'Data družstev'!$A$1:$HH$1,0)+0)),"")</f>
        <v/>
      </c>
      <c r="B102" s="53" t="str">
        <f>IFERROR(IF(INDEX('Data družstev'!$A$3:$HH$116,96,MATCH($B$3,'Data družstev'!$A$1:$HH$1,0)+1)="","",INDEX('Data družstev'!$A$3:$HH$116,96,MATCH($B$3,'Data družstev'!$A$1:$HH$1,0)+1)),"")</f>
        <v/>
      </c>
      <c r="C102" s="53" t="str">
        <f>IFERROR(IF(INDEX('Data družstev'!$A$3:$HH$116,96,MATCH($B$3,'Data družstev'!$A$1:$HH$1,0)+2)="","",INDEX('Data družstev'!$A$3:$HH$116,96,MATCH($B$3,'Data družstev'!$A$1:$HH$1,0)+2)),"")</f>
        <v/>
      </c>
      <c r="D102" s="53" t="str">
        <f>IFERROR(IF(INDEX('Data družstev'!$A$3:$HH$116,96,MATCH($B$3,'Data družstev'!$A$1:$HH$1,0)+3)="","",INDEX('Data družstev'!$A$3:$HH$116,96,MATCH($B$3,'Data družstev'!$A$1:$HH$1,0)+3)),"")</f>
        <v/>
      </c>
      <c r="E102" s="65" t="str">
        <f>IFERROR(IF(INDEX('Data družstev'!$A$3:$HH$116,96,MATCH($B$3,'Data družstev'!$A$1:$HH$1,0)+4)="","",INDEX('Data družstev'!$A$3:$HH$116,96,MATCH($B$3,'Data družstev'!$A$1:$HH$1,0)+4)),"")</f>
        <v/>
      </c>
      <c r="F102" s="53" t="str">
        <f>IFERROR(IF(INDEX('Data družstev'!$A$3:$HH$116,96,MATCH($B$3,'Data družstev'!$A$1:$HH$1,0)+5)="","",INDEX('Data družstev'!$A$3:$HH$116,96,MATCH($B$3,'Data družstev'!$A$1:$HH$1,0)+5)),"")</f>
        <v/>
      </c>
      <c r="G102" s="53" t="str">
        <f>IFERROR(IF(INDEX('Data družstev'!$A$3:$HH$116,96,MATCH($B$3,'Data družstev'!$A$1:$HH$1,0)+6)="","",INDEX('Data družstev'!$A$3:$HH$116,96,MATCH($B$3,'Data družstev'!$A$1:$HH$1,0)+6)),"")</f>
        <v/>
      </c>
      <c r="H102" s="53" t="str">
        <f>IFERROR(IF(INDEX('Data družstev'!$A$3:$HH$116,96,MATCH($B$3,'Data družstev'!$A$1:$HH$1,0)+7)="","",INDEX('Data družstev'!$A$3:$HH$116,96,MATCH($B$3,'Data družstev'!$A$1:$HH$1,0)+7)),"")</f>
        <v/>
      </c>
      <c r="I102" s="53" t="str">
        <f>IFERROR(IF(INDEX('Data družstev'!$A$3:$HH$116,96,MATCH($B$3,'Data družstev'!$A$1:$HH$1,0)+8)="","",INDEX('Data družstev'!$A$3:$HH$116,96,MATCH($B$3,'Data družstev'!$A$1:$HH$1,0)+8)),"")</f>
        <v/>
      </c>
    </row>
    <row r="103" spans="1:9" ht="27.95" customHeight="1" x14ac:dyDescent="0.2">
      <c r="A103" s="62" t="str">
        <f>IFERROR(IF(INDEX('Data družstev'!$A$3:$HH$116,97,MATCH($B$3,'Data družstev'!$A$1:$HH$1,0)+0)="","",INDEX('Data družstev'!$A$3:$HH$116,97,MATCH($B$3,'Data družstev'!$A$1:$HH$1,0)+0)),"")</f>
        <v/>
      </c>
      <c r="B103" s="53" t="str">
        <f>IFERROR(IF(INDEX('Data družstev'!$A$3:$HH$116,97,MATCH($B$3,'Data družstev'!$A$1:$HH$1,0)+1)="","",INDEX('Data družstev'!$A$3:$HH$116,97,MATCH($B$3,'Data družstev'!$A$1:$HH$1,0)+1)),"")</f>
        <v/>
      </c>
      <c r="C103" s="53" t="str">
        <f>IFERROR(IF(INDEX('Data družstev'!$A$3:$HH$116,97,MATCH($B$3,'Data družstev'!$A$1:$HH$1,0)+2)="","",INDEX('Data družstev'!$A$3:$HH$116,97,MATCH($B$3,'Data družstev'!$A$1:$HH$1,0)+2)),"")</f>
        <v/>
      </c>
      <c r="D103" s="53" t="str">
        <f>IFERROR(IF(INDEX('Data družstev'!$A$3:$HH$116,97,MATCH($B$3,'Data družstev'!$A$1:$HH$1,0)+3)="","",INDEX('Data družstev'!$A$3:$HH$116,97,MATCH($B$3,'Data družstev'!$A$1:$HH$1,0)+3)),"")</f>
        <v/>
      </c>
      <c r="E103" s="65" t="str">
        <f>IFERROR(IF(INDEX('Data družstev'!$A$3:$HH$116,97,MATCH($B$3,'Data družstev'!$A$1:$HH$1,0)+4)="","",INDEX('Data družstev'!$A$3:$HH$116,97,MATCH($B$3,'Data družstev'!$A$1:$HH$1,0)+4)),"")</f>
        <v/>
      </c>
      <c r="F103" s="53" t="str">
        <f>IFERROR(IF(INDEX('Data družstev'!$A$3:$HH$116,97,MATCH($B$3,'Data družstev'!$A$1:$HH$1,0)+5)="","",INDEX('Data družstev'!$A$3:$HH$116,97,MATCH($B$3,'Data družstev'!$A$1:$HH$1,0)+5)),"")</f>
        <v/>
      </c>
      <c r="G103" s="53" t="str">
        <f>IFERROR(IF(INDEX('Data družstev'!$A$3:$HH$116,97,MATCH($B$3,'Data družstev'!$A$1:$HH$1,0)+6)="","",INDEX('Data družstev'!$A$3:$HH$116,97,MATCH($B$3,'Data družstev'!$A$1:$HH$1,0)+6)),"")</f>
        <v/>
      </c>
      <c r="H103" s="53" t="str">
        <f>IFERROR(IF(INDEX('Data družstev'!$A$3:$HH$116,97,MATCH($B$3,'Data družstev'!$A$1:$HH$1,0)+7)="","",INDEX('Data družstev'!$A$3:$HH$116,97,MATCH($B$3,'Data družstev'!$A$1:$HH$1,0)+7)),"")</f>
        <v/>
      </c>
      <c r="I103" s="53" t="str">
        <f>IFERROR(IF(INDEX('Data družstev'!$A$3:$HH$116,97,MATCH($B$3,'Data družstev'!$A$1:$HH$1,0)+8)="","",INDEX('Data družstev'!$A$3:$HH$116,97,MATCH($B$3,'Data družstev'!$A$1:$HH$1,0)+8)),"")</f>
        <v/>
      </c>
    </row>
    <row r="104" spans="1:9" ht="27.95" customHeight="1" x14ac:dyDescent="0.2">
      <c r="A104" s="62" t="str">
        <f>IFERROR(IF(INDEX('Data družstev'!$A$3:$HH$116,98,MATCH($B$3,'Data družstev'!$A$1:$HH$1,0)+0)="","",INDEX('Data družstev'!$A$3:$HH$116,98,MATCH($B$3,'Data družstev'!$A$1:$HH$1,0)+0)),"")</f>
        <v/>
      </c>
      <c r="B104" s="53" t="str">
        <f>IFERROR(IF(INDEX('Data družstev'!$A$3:$HH$116,98,MATCH($B$3,'Data družstev'!$A$1:$HH$1,0)+1)="","",INDEX('Data družstev'!$A$3:$HH$116,98,MATCH($B$3,'Data družstev'!$A$1:$HH$1,0)+1)),"")</f>
        <v/>
      </c>
      <c r="C104" s="53" t="str">
        <f>IFERROR(IF(INDEX('Data družstev'!$A$3:$HH$116,98,MATCH($B$3,'Data družstev'!$A$1:$HH$1,0)+2)="","",INDEX('Data družstev'!$A$3:$HH$116,98,MATCH($B$3,'Data družstev'!$A$1:$HH$1,0)+2)),"")</f>
        <v/>
      </c>
      <c r="D104" s="53" t="str">
        <f>IFERROR(IF(INDEX('Data družstev'!$A$3:$HH$116,98,MATCH($B$3,'Data družstev'!$A$1:$HH$1,0)+3)="","",INDEX('Data družstev'!$A$3:$HH$116,98,MATCH($B$3,'Data družstev'!$A$1:$HH$1,0)+3)),"")</f>
        <v/>
      </c>
      <c r="E104" s="65" t="str">
        <f>IFERROR(IF(INDEX('Data družstev'!$A$3:$HH$116,98,MATCH($B$3,'Data družstev'!$A$1:$HH$1,0)+4)="","",INDEX('Data družstev'!$A$3:$HH$116,98,MATCH($B$3,'Data družstev'!$A$1:$HH$1,0)+4)),"")</f>
        <v/>
      </c>
      <c r="F104" s="53" t="str">
        <f>IFERROR(IF(INDEX('Data družstev'!$A$3:$HH$116,98,MATCH($B$3,'Data družstev'!$A$1:$HH$1,0)+5)="","",INDEX('Data družstev'!$A$3:$HH$116,98,MATCH($B$3,'Data družstev'!$A$1:$HH$1,0)+5)),"")</f>
        <v/>
      </c>
      <c r="G104" s="53" t="str">
        <f>IFERROR(IF(INDEX('Data družstev'!$A$3:$HH$116,98,MATCH($B$3,'Data družstev'!$A$1:$HH$1,0)+6)="","",INDEX('Data družstev'!$A$3:$HH$116,98,MATCH($B$3,'Data družstev'!$A$1:$HH$1,0)+6)),"")</f>
        <v/>
      </c>
      <c r="H104" s="53" t="str">
        <f>IFERROR(IF(INDEX('Data družstev'!$A$3:$HH$116,98,MATCH($B$3,'Data družstev'!$A$1:$HH$1,0)+7)="","",INDEX('Data družstev'!$A$3:$HH$116,98,MATCH($B$3,'Data družstev'!$A$1:$HH$1,0)+7)),"")</f>
        <v/>
      </c>
      <c r="I104" s="53" t="str">
        <f>IFERROR(IF(INDEX('Data družstev'!$A$3:$HH$116,98,MATCH($B$3,'Data družstev'!$A$1:$HH$1,0)+8)="","",INDEX('Data družstev'!$A$3:$HH$116,98,MATCH($B$3,'Data družstev'!$A$1:$HH$1,0)+8)),"")</f>
        <v/>
      </c>
    </row>
    <row r="105" spans="1:9" ht="27.95" customHeight="1" x14ac:dyDescent="0.2">
      <c r="A105" s="62" t="str">
        <f>IFERROR(IF(INDEX('Data družstev'!$A$3:$HH$116,99,MATCH($B$3,'Data družstev'!$A$1:$HH$1,0)+0)="","",INDEX('Data družstev'!$A$3:$HH$116,99,MATCH($B$3,'Data družstev'!$A$1:$HH$1,0)+0)),"")</f>
        <v/>
      </c>
      <c r="B105" s="53" t="str">
        <f>IFERROR(IF(INDEX('Data družstev'!$A$3:$HH$116,99,MATCH($B$3,'Data družstev'!$A$1:$HH$1,0)+1)="","",INDEX('Data družstev'!$A$3:$HH$116,99,MATCH($B$3,'Data družstev'!$A$1:$HH$1,0)+1)),"")</f>
        <v/>
      </c>
      <c r="C105" s="53" t="str">
        <f>IFERROR(IF(INDEX('Data družstev'!$A$3:$HH$116,99,MATCH($B$3,'Data družstev'!$A$1:$HH$1,0)+2)="","",INDEX('Data družstev'!$A$3:$HH$116,99,MATCH($B$3,'Data družstev'!$A$1:$HH$1,0)+2)),"")</f>
        <v/>
      </c>
      <c r="D105" s="53" t="str">
        <f>IFERROR(IF(INDEX('Data družstev'!$A$3:$HH$116,99,MATCH($B$3,'Data družstev'!$A$1:$HH$1,0)+3)="","",INDEX('Data družstev'!$A$3:$HH$116,99,MATCH($B$3,'Data družstev'!$A$1:$HH$1,0)+3)),"")</f>
        <v/>
      </c>
      <c r="E105" s="65" t="str">
        <f>IFERROR(IF(INDEX('Data družstev'!$A$3:$HH$116,99,MATCH($B$3,'Data družstev'!$A$1:$HH$1,0)+4)="","",INDEX('Data družstev'!$A$3:$HH$116,99,MATCH($B$3,'Data družstev'!$A$1:$HH$1,0)+4)),"")</f>
        <v/>
      </c>
      <c r="F105" s="53" t="str">
        <f>IFERROR(IF(INDEX('Data družstev'!$A$3:$HH$116,99,MATCH($B$3,'Data družstev'!$A$1:$HH$1,0)+5)="","",INDEX('Data družstev'!$A$3:$HH$116,99,MATCH($B$3,'Data družstev'!$A$1:$HH$1,0)+5)),"")</f>
        <v/>
      </c>
      <c r="G105" s="53" t="str">
        <f>IFERROR(IF(INDEX('Data družstev'!$A$3:$HH$116,99,MATCH($B$3,'Data družstev'!$A$1:$HH$1,0)+6)="","",INDEX('Data družstev'!$A$3:$HH$116,99,MATCH($B$3,'Data družstev'!$A$1:$HH$1,0)+6)),"")</f>
        <v/>
      </c>
      <c r="H105" s="53" t="str">
        <f>IFERROR(IF(INDEX('Data družstev'!$A$3:$HH$116,99,MATCH($B$3,'Data družstev'!$A$1:$HH$1,0)+7)="","",INDEX('Data družstev'!$A$3:$HH$116,99,MATCH($B$3,'Data družstev'!$A$1:$HH$1,0)+7)),"")</f>
        <v/>
      </c>
      <c r="I105" s="53" t="str">
        <f>IFERROR(IF(INDEX('Data družstev'!$A$3:$HH$116,99,MATCH($B$3,'Data družstev'!$A$1:$HH$1,0)+8)="","",INDEX('Data družstev'!$A$3:$HH$116,99,MATCH($B$3,'Data družstev'!$A$1:$HH$1,0)+8)),"")</f>
        <v/>
      </c>
    </row>
    <row r="106" spans="1:9" ht="27.95" customHeight="1" x14ac:dyDescent="0.2">
      <c r="A106" s="62" t="str">
        <f>IFERROR(IF(INDEX('Data družstev'!$A$3:$HH$116,100,MATCH($B$3,'Data družstev'!$A$1:$HH$1,0)+0)="","",INDEX('Data družstev'!$A$3:$HH$116,100,MATCH($B$3,'Data družstev'!$A$1:$HH$1,0)+0)),"")</f>
        <v/>
      </c>
      <c r="B106" s="53" t="str">
        <f>IFERROR(IF(INDEX('Data družstev'!$A$3:$HH$116,100,MATCH($B$3,'Data družstev'!$A$1:$HH$1,0)+1)="","",INDEX('Data družstev'!$A$3:$HH$116,100,MATCH($B$3,'Data družstev'!$A$1:$HH$1,0)+1)),"")</f>
        <v/>
      </c>
      <c r="C106" s="53" t="str">
        <f>IFERROR(IF(INDEX('Data družstev'!$A$3:$HH$116,100,MATCH($B$3,'Data družstev'!$A$1:$HH$1,0)+2)="","",INDEX('Data družstev'!$A$3:$HH$116,100,MATCH($B$3,'Data družstev'!$A$1:$HH$1,0)+2)),"")</f>
        <v/>
      </c>
      <c r="D106" s="53" t="str">
        <f>IFERROR(IF(INDEX('Data družstev'!$A$3:$HH$116,100,MATCH($B$3,'Data družstev'!$A$1:$HH$1,0)+3)="","",INDEX('Data družstev'!$A$3:$HH$116,100,MATCH($B$3,'Data družstev'!$A$1:$HH$1,0)+3)),"")</f>
        <v/>
      </c>
      <c r="E106" s="65" t="str">
        <f>IFERROR(IF(INDEX('Data družstev'!$A$3:$HH$116,100,MATCH($B$3,'Data družstev'!$A$1:$HH$1,0)+4)="","",INDEX('Data družstev'!$A$3:$HH$116,100,MATCH($B$3,'Data družstev'!$A$1:$HH$1,0)+4)),"")</f>
        <v/>
      </c>
      <c r="F106" s="53" t="str">
        <f>IFERROR(IF(INDEX('Data družstev'!$A$3:$HH$116,100,MATCH($B$3,'Data družstev'!$A$1:$HH$1,0)+5)="","",INDEX('Data družstev'!$A$3:$HH$116,100,MATCH($B$3,'Data družstev'!$A$1:$HH$1,0)+5)),"")</f>
        <v/>
      </c>
      <c r="G106" s="53" t="str">
        <f>IFERROR(IF(INDEX('Data družstev'!$A$3:$HH$116,100,MATCH($B$3,'Data družstev'!$A$1:$HH$1,0)+6)="","",INDEX('Data družstev'!$A$3:$HH$116,100,MATCH($B$3,'Data družstev'!$A$1:$HH$1,0)+6)),"")</f>
        <v/>
      </c>
      <c r="H106" s="53" t="str">
        <f>IFERROR(IF(INDEX('Data družstev'!$A$3:$HH$116,100,MATCH($B$3,'Data družstev'!$A$1:$HH$1,0)+7)="","",INDEX('Data družstev'!$A$3:$HH$116,100,MATCH($B$3,'Data družstev'!$A$1:$HH$1,0)+7)),"")</f>
        <v/>
      </c>
      <c r="I106" s="53" t="str">
        <f>IFERROR(IF(INDEX('Data družstev'!$A$3:$HH$116,100,MATCH($B$3,'Data družstev'!$A$1:$HH$1,0)+8)="","",INDEX('Data družstev'!$A$3:$HH$116,100,MATCH($B$3,'Data družstev'!$A$1:$HH$1,0)+8)),"")</f>
        <v/>
      </c>
    </row>
    <row r="107" spans="1:9" ht="27.95" customHeight="1" x14ac:dyDescent="0.2">
      <c r="A107" s="62" t="str">
        <f>IFERROR(IF(INDEX('Data družstev'!$A$3:$HH$116,101,MATCH($B$3,'Data družstev'!$A$1:$HH$1,0)+0)="","",INDEX('Data družstev'!$A$3:$HH$116,101,MATCH($B$3,'Data družstev'!$A$1:$HH$1,0)+0)),"")</f>
        <v/>
      </c>
      <c r="B107" s="53" t="str">
        <f>IFERROR(IF(INDEX('Data družstev'!$A$3:$HH$116,101,MATCH($B$3,'Data družstev'!$A$1:$HH$1,0)+1)="","",INDEX('Data družstev'!$A$3:$HH$116,101,MATCH($B$3,'Data družstev'!$A$1:$HH$1,0)+1)),"")</f>
        <v/>
      </c>
      <c r="C107" s="53" t="str">
        <f>IFERROR(IF(INDEX('Data družstev'!$A$3:$HH$116,101,MATCH($B$3,'Data družstev'!$A$1:$HH$1,0)+2)="","",INDEX('Data družstev'!$A$3:$HH$116,101,MATCH($B$3,'Data družstev'!$A$1:$HH$1,0)+2)),"")</f>
        <v/>
      </c>
      <c r="D107" s="53" t="str">
        <f>IFERROR(IF(INDEX('Data družstev'!$A$3:$HH$116,101,MATCH($B$3,'Data družstev'!$A$1:$HH$1,0)+3)="","",INDEX('Data družstev'!$A$3:$HH$116,101,MATCH($B$3,'Data družstev'!$A$1:$HH$1,0)+3)),"")</f>
        <v/>
      </c>
      <c r="E107" s="65" t="str">
        <f>IFERROR(IF(INDEX('Data družstev'!$A$3:$HH$116,101,MATCH($B$3,'Data družstev'!$A$1:$HH$1,0)+4)="","",INDEX('Data družstev'!$A$3:$HH$116,101,MATCH($B$3,'Data družstev'!$A$1:$HH$1,0)+4)),"")</f>
        <v/>
      </c>
      <c r="F107" s="53" t="str">
        <f>IFERROR(IF(INDEX('Data družstev'!$A$3:$HH$116,101,MATCH($B$3,'Data družstev'!$A$1:$HH$1,0)+5)="","",INDEX('Data družstev'!$A$3:$HH$116,101,MATCH($B$3,'Data družstev'!$A$1:$HH$1,0)+5)),"")</f>
        <v/>
      </c>
      <c r="G107" s="53" t="str">
        <f>IFERROR(IF(INDEX('Data družstev'!$A$3:$HH$116,101,MATCH($B$3,'Data družstev'!$A$1:$HH$1,0)+6)="","",INDEX('Data družstev'!$A$3:$HH$116,101,MATCH($B$3,'Data družstev'!$A$1:$HH$1,0)+6)),"")</f>
        <v/>
      </c>
      <c r="H107" s="53" t="str">
        <f>IFERROR(IF(INDEX('Data družstev'!$A$3:$HH$116,101,MATCH($B$3,'Data družstev'!$A$1:$HH$1,0)+7)="","",INDEX('Data družstev'!$A$3:$HH$116,101,MATCH($B$3,'Data družstev'!$A$1:$HH$1,0)+7)),"")</f>
        <v/>
      </c>
      <c r="I107" s="53" t="str">
        <f>IFERROR(IF(INDEX('Data družstev'!$A$3:$HH$116,101,MATCH($B$3,'Data družstev'!$A$1:$HH$1,0)+8)="","",INDEX('Data družstev'!$A$3:$HH$116,101,MATCH($B$3,'Data družstev'!$A$1:$HH$1,0)+8)),"")</f>
        <v/>
      </c>
    </row>
    <row r="108" spans="1:9" ht="27.95" customHeight="1" x14ac:dyDescent="0.2">
      <c r="A108" s="62" t="str">
        <f>IFERROR(IF(INDEX('Data družstev'!$A$3:$HH$116,102,MATCH($B$3,'Data družstev'!$A$1:$HH$1,0)+0)="","",INDEX('Data družstev'!$A$3:$HH$116,102,MATCH($B$3,'Data družstev'!$A$1:$HH$1,0)+0)),"")</f>
        <v/>
      </c>
      <c r="B108" s="53" t="str">
        <f>IFERROR(IF(INDEX('Data družstev'!$A$3:$HH$116,102,MATCH($B$3,'Data družstev'!$A$1:$HH$1,0)+1)="","",INDEX('Data družstev'!$A$3:$HH$116,102,MATCH($B$3,'Data družstev'!$A$1:$HH$1,0)+1)),"")</f>
        <v/>
      </c>
      <c r="C108" s="53" t="str">
        <f>IFERROR(IF(INDEX('Data družstev'!$A$3:$HH$116,102,MATCH($B$3,'Data družstev'!$A$1:$HH$1,0)+2)="","",INDEX('Data družstev'!$A$3:$HH$116,102,MATCH($B$3,'Data družstev'!$A$1:$HH$1,0)+2)),"")</f>
        <v/>
      </c>
      <c r="D108" s="53" t="str">
        <f>IFERROR(IF(INDEX('Data družstev'!$A$3:$HH$116,102,MATCH($B$3,'Data družstev'!$A$1:$HH$1,0)+3)="","",INDEX('Data družstev'!$A$3:$HH$116,102,MATCH($B$3,'Data družstev'!$A$1:$HH$1,0)+3)),"")</f>
        <v/>
      </c>
      <c r="E108" s="65" t="str">
        <f>IFERROR(IF(INDEX('Data družstev'!$A$3:$HH$116,102,MATCH($B$3,'Data družstev'!$A$1:$HH$1,0)+4)="","",INDEX('Data družstev'!$A$3:$HH$116,102,MATCH($B$3,'Data družstev'!$A$1:$HH$1,0)+4)),"")</f>
        <v/>
      </c>
      <c r="F108" s="53" t="str">
        <f>IFERROR(IF(INDEX('Data družstev'!$A$3:$HH$116,102,MATCH($B$3,'Data družstev'!$A$1:$HH$1,0)+5)="","",INDEX('Data družstev'!$A$3:$HH$116,102,MATCH($B$3,'Data družstev'!$A$1:$HH$1,0)+5)),"")</f>
        <v/>
      </c>
      <c r="G108" s="53" t="str">
        <f>IFERROR(IF(INDEX('Data družstev'!$A$3:$HH$116,102,MATCH($B$3,'Data družstev'!$A$1:$HH$1,0)+6)="","",INDEX('Data družstev'!$A$3:$HH$116,102,MATCH($B$3,'Data družstev'!$A$1:$HH$1,0)+6)),"")</f>
        <v/>
      </c>
      <c r="H108" s="53" t="str">
        <f>IFERROR(IF(INDEX('Data družstev'!$A$3:$HH$116,102,MATCH($B$3,'Data družstev'!$A$1:$HH$1,0)+7)="","",INDEX('Data družstev'!$A$3:$HH$116,102,MATCH($B$3,'Data družstev'!$A$1:$HH$1,0)+7)),"")</f>
        <v/>
      </c>
      <c r="I108" s="53" t="str">
        <f>IFERROR(IF(INDEX('Data družstev'!$A$3:$HH$116,102,MATCH($B$3,'Data družstev'!$A$1:$HH$1,0)+8)="","",INDEX('Data družstev'!$A$3:$HH$116,102,MATCH($B$3,'Data družstev'!$A$1:$HH$1,0)+8)),"")</f>
        <v/>
      </c>
    </row>
    <row r="109" spans="1:9" ht="27.95" customHeight="1" x14ac:dyDescent="0.2">
      <c r="A109" s="62" t="str">
        <f>IFERROR(IF(INDEX('Data družstev'!$A$3:$HH$116,103,MATCH($B$3,'Data družstev'!$A$1:$HH$1,0)+0)="","",INDEX('Data družstev'!$A$3:$HH$116,103,MATCH($B$3,'Data družstev'!$A$1:$HH$1,0)+0)),"")</f>
        <v/>
      </c>
      <c r="B109" s="53" t="str">
        <f>IFERROR(IF(INDEX('Data družstev'!$A$3:$HH$116,103,MATCH($B$3,'Data družstev'!$A$1:$HH$1,0)+1)="","",INDEX('Data družstev'!$A$3:$HH$116,103,MATCH($B$3,'Data družstev'!$A$1:$HH$1,0)+1)),"")</f>
        <v/>
      </c>
      <c r="C109" s="53" t="str">
        <f>IFERROR(IF(INDEX('Data družstev'!$A$3:$HH$116,103,MATCH($B$3,'Data družstev'!$A$1:$HH$1,0)+2)="","",INDEX('Data družstev'!$A$3:$HH$116,103,MATCH($B$3,'Data družstev'!$A$1:$HH$1,0)+2)),"")</f>
        <v/>
      </c>
      <c r="D109" s="53" t="str">
        <f>IFERROR(IF(INDEX('Data družstev'!$A$3:$HH$116,103,MATCH($B$3,'Data družstev'!$A$1:$HH$1,0)+3)="","",INDEX('Data družstev'!$A$3:$HH$116,103,MATCH($B$3,'Data družstev'!$A$1:$HH$1,0)+3)),"")</f>
        <v/>
      </c>
      <c r="E109" s="65" t="str">
        <f>IFERROR(IF(INDEX('Data družstev'!$A$3:$HH$116,103,MATCH($B$3,'Data družstev'!$A$1:$HH$1,0)+4)="","",INDEX('Data družstev'!$A$3:$HH$116,103,MATCH($B$3,'Data družstev'!$A$1:$HH$1,0)+4)),"")</f>
        <v/>
      </c>
      <c r="F109" s="53" t="str">
        <f>IFERROR(IF(INDEX('Data družstev'!$A$3:$HH$116,103,MATCH($B$3,'Data družstev'!$A$1:$HH$1,0)+5)="","",INDEX('Data družstev'!$A$3:$HH$116,103,MATCH($B$3,'Data družstev'!$A$1:$HH$1,0)+5)),"")</f>
        <v/>
      </c>
      <c r="G109" s="53" t="str">
        <f>IFERROR(IF(INDEX('Data družstev'!$A$3:$HH$116,103,MATCH($B$3,'Data družstev'!$A$1:$HH$1,0)+6)="","",INDEX('Data družstev'!$A$3:$HH$116,103,MATCH($B$3,'Data družstev'!$A$1:$HH$1,0)+6)),"")</f>
        <v/>
      </c>
      <c r="H109" s="53" t="str">
        <f>IFERROR(IF(INDEX('Data družstev'!$A$3:$HH$116,103,MATCH($B$3,'Data družstev'!$A$1:$HH$1,0)+7)="","",INDEX('Data družstev'!$A$3:$HH$116,103,MATCH($B$3,'Data družstev'!$A$1:$HH$1,0)+7)),"")</f>
        <v/>
      </c>
      <c r="I109" s="53" t="str">
        <f>IFERROR(IF(INDEX('Data družstev'!$A$3:$HH$116,103,MATCH($B$3,'Data družstev'!$A$1:$HH$1,0)+8)="","",INDEX('Data družstev'!$A$3:$HH$116,103,MATCH($B$3,'Data družstev'!$A$1:$HH$1,0)+8)),"")</f>
        <v/>
      </c>
    </row>
    <row r="110" spans="1:9" ht="27.95" customHeight="1" x14ac:dyDescent="0.2">
      <c r="A110" s="62" t="str">
        <f>IFERROR(IF(INDEX('Data družstev'!$A$3:$HH$116,104,MATCH($B$3,'Data družstev'!$A$1:$HH$1,0)+0)="","",INDEX('Data družstev'!$A$3:$HH$116,104,MATCH($B$3,'Data družstev'!$A$1:$HH$1,0)+0)),"")</f>
        <v/>
      </c>
      <c r="B110" s="53" t="str">
        <f>IFERROR(IF(INDEX('Data družstev'!$A$3:$HH$116,104,MATCH($B$3,'Data družstev'!$A$1:$HH$1,0)+1)="","",INDEX('Data družstev'!$A$3:$HH$116,104,MATCH($B$3,'Data družstev'!$A$1:$HH$1,0)+1)),"")</f>
        <v/>
      </c>
      <c r="C110" s="53" t="str">
        <f>IFERROR(IF(INDEX('Data družstev'!$A$3:$HH$116,104,MATCH($B$3,'Data družstev'!$A$1:$HH$1,0)+2)="","",INDEX('Data družstev'!$A$3:$HH$116,104,MATCH($B$3,'Data družstev'!$A$1:$HH$1,0)+2)),"")</f>
        <v/>
      </c>
      <c r="D110" s="53" t="str">
        <f>IFERROR(IF(INDEX('Data družstev'!$A$3:$HH$116,104,MATCH($B$3,'Data družstev'!$A$1:$HH$1,0)+3)="","",INDEX('Data družstev'!$A$3:$HH$116,104,MATCH($B$3,'Data družstev'!$A$1:$HH$1,0)+3)),"")</f>
        <v/>
      </c>
      <c r="E110" s="65" t="str">
        <f>IFERROR(IF(INDEX('Data družstev'!$A$3:$HH$116,104,MATCH($B$3,'Data družstev'!$A$1:$HH$1,0)+4)="","",INDEX('Data družstev'!$A$3:$HH$116,104,MATCH($B$3,'Data družstev'!$A$1:$HH$1,0)+4)),"")</f>
        <v/>
      </c>
      <c r="F110" s="53" t="str">
        <f>IFERROR(IF(INDEX('Data družstev'!$A$3:$HH$116,104,MATCH($B$3,'Data družstev'!$A$1:$HH$1,0)+5)="","",INDEX('Data družstev'!$A$3:$HH$116,104,MATCH($B$3,'Data družstev'!$A$1:$HH$1,0)+5)),"")</f>
        <v/>
      </c>
      <c r="G110" s="53" t="str">
        <f>IFERROR(IF(INDEX('Data družstev'!$A$3:$HH$116,104,MATCH($B$3,'Data družstev'!$A$1:$HH$1,0)+6)="","",INDEX('Data družstev'!$A$3:$HH$116,104,MATCH($B$3,'Data družstev'!$A$1:$HH$1,0)+6)),"")</f>
        <v/>
      </c>
      <c r="H110" s="53" t="str">
        <f>IFERROR(IF(INDEX('Data družstev'!$A$3:$HH$116,104,MATCH($B$3,'Data družstev'!$A$1:$HH$1,0)+7)="","",INDEX('Data družstev'!$A$3:$HH$116,104,MATCH($B$3,'Data družstev'!$A$1:$HH$1,0)+7)),"")</f>
        <v/>
      </c>
      <c r="I110" s="53" t="str">
        <f>IFERROR(IF(INDEX('Data družstev'!$A$3:$HH$116,104,MATCH($B$3,'Data družstev'!$A$1:$HH$1,0)+8)="","",INDEX('Data družstev'!$A$3:$HH$116,104,MATCH($B$3,'Data družstev'!$A$1:$HH$1,0)+8)),"")</f>
        <v/>
      </c>
    </row>
    <row r="111" spans="1:9" ht="27.95" customHeight="1" x14ac:dyDescent="0.2">
      <c r="A111" s="62" t="str">
        <f>IFERROR(IF(INDEX('Data družstev'!$A$3:$HH$116,105,MATCH($B$3,'Data družstev'!$A$1:$HH$1,0)+0)="","",INDEX('Data družstev'!$A$3:$HH$116,105,MATCH($B$3,'Data družstev'!$A$1:$HH$1,0)+0)),"")</f>
        <v/>
      </c>
      <c r="B111" s="53" t="str">
        <f>IFERROR(IF(INDEX('Data družstev'!$A$3:$HH$116,105,MATCH($B$3,'Data družstev'!$A$1:$HH$1,0)+1)="","",INDEX('Data družstev'!$A$3:$HH$116,105,MATCH($B$3,'Data družstev'!$A$1:$HH$1,0)+1)),"")</f>
        <v/>
      </c>
      <c r="C111" s="53" t="str">
        <f>IFERROR(IF(INDEX('Data družstev'!$A$3:$HH$116,105,MATCH($B$3,'Data družstev'!$A$1:$HH$1,0)+2)="","",INDEX('Data družstev'!$A$3:$HH$116,105,MATCH($B$3,'Data družstev'!$A$1:$HH$1,0)+2)),"")</f>
        <v/>
      </c>
      <c r="D111" s="53" t="str">
        <f>IFERROR(IF(INDEX('Data družstev'!$A$3:$HH$116,105,MATCH($B$3,'Data družstev'!$A$1:$HH$1,0)+3)="","",INDEX('Data družstev'!$A$3:$HH$116,105,MATCH($B$3,'Data družstev'!$A$1:$HH$1,0)+3)),"")</f>
        <v/>
      </c>
      <c r="E111" s="65" t="str">
        <f>IFERROR(IF(INDEX('Data družstev'!$A$3:$HH$116,105,MATCH($B$3,'Data družstev'!$A$1:$HH$1,0)+4)="","",INDEX('Data družstev'!$A$3:$HH$116,105,MATCH($B$3,'Data družstev'!$A$1:$HH$1,0)+4)),"")</f>
        <v/>
      </c>
      <c r="F111" s="53" t="str">
        <f>IFERROR(IF(INDEX('Data družstev'!$A$3:$HH$116,105,MATCH($B$3,'Data družstev'!$A$1:$HH$1,0)+5)="","",INDEX('Data družstev'!$A$3:$HH$116,105,MATCH($B$3,'Data družstev'!$A$1:$HH$1,0)+5)),"")</f>
        <v/>
      </c>
      <c r="G111" s="53" t="str">
        <f>IFERROR(IF(INDEX('Data družstev'!$A$3:$HH$116,105,MATCH($B$3,'Data družstev'!$A$1:$HH$1,0)+6)="","",INDEX('Data družstev'!$A$3:$HH$116,105,MATCH($B$3,'Data družstev'!$A$1:$HH$1,0)+6)),"")</f>
        <v/>
      </c>
      <c r="H111" s="53" t="str">
        <f>IFERROR(IF(INDEX('Data družstev'!$A$3:$HH$116,105,MATCH($B$3,'Data družstev'!$A$1:$HH$1,0)+7)="","",INDEX('Data družstev'!$A$3:$HH$116,105,MATCH($B$3,'Data družstev'!$A$1:$HH$1,0)+7)),"")</f>
        <v/>
      </c>
      <c r="I111" s="53" t="str">
        <f>IFERROR(IF(INDEX('Data družstev'!$A$3:$HH$116,105,MATCH($B$3,'Data družstev'!$A$1:$HH$1,0)+8)="","",INDEX('Data družstev'!$A$3:$HH$116,105,MATCH($B$3,'Data družstev'!$A$1:$HH$1,0)+8)),"")</f>
        <v/>
      </c>
    </row>
    <row r="112" spans="1:9" ht="27.95" customHeight="1" x14ac:dyDescent="0.2">
      <c r="A112" s="62" t="str">
        <f>IFERROR(IF(INDEX('Data družstev'!$A$3:$HH$116,106,MATCH($B$3,'Data družstev'!$A$1:$HH$1,0)+0)="","",INDEX('Data družstev'!$A$3:$HH$116,106,MATCH($B$3,'Data družstev'!$A$1:$HH$1,0)+0)),"")</f>
        <v/>
      </c>
      <c r="B112" s="53" t="str">
        <f>IFERROR(IF(INDEX('Data družstev'!$A$3:$HH$116,106,MATCH($B$3,'Data družstev'!$A$1:$HH$1,0)+1)="","",INDEX('Data družstev'!$A$3:$HH$116,106,MATCH($B$3,'Data družstev'!$A$1:$HH$1,0)+1)),"")</f>
        <v/>
      </c>
      <c r="C112" s="53" t="str">
        <f>IFERROR(IF(INDEX('Data družstev'!$A$3:$HH$116,106,MATCH($B$3,'Data družstev'!$A$1:$HH$1,0)+2)="","",INDEX('Data družstev'!$A$3:$HH$116,106,MATCH($B$3,'Data družstev'!$A$1:$HH$1,0)+2)),"")</f>
        <v/>
      </c>
      <c r="D112" s="53" t="str">
        <f>IFERROR(IF(INDEX('Data družstev'!$A$3:$HH$116,106,MATCH($B$3,'Data družstev'!$A$1:$HH$1,0)+3)="","",INDEX('Data družstev'!$A$3:$HH$116,106,MATCH($B$3,'Data družstev'!$A$1:$HH$1,0)+3)),"")</f>
        <v/>
      </c>
      <c r="E112" s="65" t="str">
        <f>IFERROR(IF(INDEX('Data družstev'!$A$3:$HH$116,106,MATCH($B$3,'Data družstev'!$A$1:$HH$1,0)+4)="","",INDEX('Data družstev'!$A$3:$HH$116,106,MATCH($B$3,'Data družstev'!$A$1:$HH$1,0)+4)),"")</f>
        <v/>
      </c>
      <c r="F112" s="53" t="str">
        <f>IFERROR(IF(INDEX('Data družstev'!$A$3:$HH$116,106,MATCH($B$3,'Data družstev'!$A$1:$HH$1,0)+5)="","",INDEX('Data družstev'!$A$3:$HH$116,106,MATCH($B$3,'Data družstev'!$A$1:$HH$1,0)+5)),"")</f>
        <v/>
      </c>
      <c r="G112" s="53" t="str">
        <f>IFERROR(IF(INDEX('Data družstev'!$A$3:$HH$116,106,MATCH($B$3,'Data družstev'!$A$1:$HH$1,0)+6)="","",INDEX('Data družstev'!$A$3:$HH$116,106,MATCH($B$3,'Data družstev'!$A$1:$HH$1,0)+6)),"")</f>
        <v/>
      </c>
      <c r="H112" s="53" t="str">
        <f>IFERROR(IF(INDEX('Data družstev'!$A$3:$HH$116,106,MATCH($B$3,'Data družstev'!$A$1:$HH$1,0)+7)="","",INDEX('Data družstev'!$A$3:$HH$116,106,MATCH($B$3,'Data družstev'!$A$1:$HH$1,0)+7)),"")</f>
        <v/>
      </c>
      <c r="I112" s="53" t="str">
        <f>IFERROR(IF(INDEX('Data družstev'!$A$3:$HH$116,106,MATCH($B$3,'Data družstev'!$A$1:$HH$1,0)+8)="","",INDEX('Data družstev'!$A$3:$HH$116,106,MATCH($B$3,'Data družstev'!$A$1:$HH$1,0)+8)),"")</f>
        <v/>
      </c>
    </row>
    <row r="113" spans="1:9" ht="27.95" customHeight="1" x14ac:dyDescent="0.2">
      <c r="A113" s="62" t="str">
        <f>IFERROR(IF(INDEX('Data družstev'!$A$3:$HH$116,107,MATCH($B$3,'Data družstev'!$A$1:$HH$1,0)+0)="","",INDEX('Data družstev'!$A$3:$HH$116,107,MATCH($B$3,'Data družstev'!$A$1:$HH$1,0)+0)),"")</f>
        <v/>
      </c>
      <c r="B113" s="53" t="str">
        <f>IFERROR(IF(INDEX('Data družstev'!$A$3:$HH$116,107,MATCH($B$3,'Data družstev'!$A$1:$HH$1,0)+1)="","",INDEX('Data družstev'!$A$3:$HH$116,107,MATCH($B$3,'Data družstev'!$A$1:$HH$1,0)+1)),"")</f>
        <v/>
      </c>
      <c r="C113" s="53" t="str">
        <f>IFERROR(IF(INDEX('Data družstev'!$A$3:$HH$116,107,MATCH($B$3,'Data družstev'!$A$1:$HH$1,0)+2)="","",INDEX('Data družstev'!$A$3:$HH$116,107,MATCH($B$3,'Data družstev'!$A$1:$HH$1,0)+2)),"")</f>
        <v/>
      </c>
      <c r="D113" s="53" t="str">
        <f>IFERROR(IF(INDEX('Data družstev'!$A$3:$HH$116,107,MATCH($B$3,'Data družstev'!$A$1:$HH$1,0)+3)="","",INDEX('Data družstev'!$A$3:$HH$116,107,MATCH($B$3,'Data družstev'!$A$1:$HH$1,0)+3)),"")</f>
        <v/>
      </c>
      <c r="E113" s="65" t="str">
        <f>IFERROR(IF(INDEX('Data družstev'!$A$3:$HH$116,107,MATCH($B$3,'Data družstev'!$A$1:$HH$1,0)+4)="","",INDEX('Data družstev'!$A$3:$HH$116,107,MATCH($B$3,'Data družstev'!$A$1:$HH$1,0)+4)),"")</f>
        <v/>
      </c>
      <c r="F113" s="53" t="str">
        <f>IFERROR(IF(INDEX('Data družstev'!$A$3:$HH$116,107,MATCH($B$3,'Data družstev'!$A$1:$HH$1,0)+5)="","",INDEX('Data družstev'!$A$3:$HH$116,107,MATCH($B$3,'Data družstev'!$A$1:$HH$1,0)+5)),"")</f>
        <v/>
      </c>
      <c r="G113" s="53" t="str">
        <f>IFERROR(IF(INDEX('Data družstev'!$A$3:$HH$116,107,MATCH($B$3,'Data družstev'!$A$1:$HH$1,0)+6)="","",INDEX('Data družstev'!$A$3:$HH$116,107,MATCH($B$3,'Data družstev'!$A$1:$HH$1,0)+6)),"")</f>
        <v/>
      </c>
      <c r="H113" s="53" t="str">
        <f>IFERROR(IF(INDEX('Data družstev'!$A$3:$HH$116,107,MATCH($B$3,'Data družstev'!$A$1:$HH$1,0)+7)="","",INDEX('Data družstev'!$A$3:$HH$116,107,MATCH($B$3,'Data družstev'!$A$1:$HH$1,0)+7)),"")</f>
        <v/>
      </c>
      <c r="I113" s="53" t="str">
        <f>IFERROR(IF(INDEX('Data družstev'!$A$3:$HH$116,107,MATCH($B$3,'Data družstev'!$A$1:$HH$1,0)+8)="","",INDEX('Data družstev'!$A$3:$HH$116,107,MATCH($B$3,'Data družstev'!$A$1:$HH$1,0)+8)),"")</f>
        <v/>
      </c>
    </row>
    <row r="114" spans="1:9" ht="27.95" customHeight="1" x14ac:dyDescent="0.2">
      <c r="A114" s="62" t="str">
        <f>IFERROR(IF(INDEX('Data družstev'!$A$3:$HH$116,108,MATCH($B$3,'Data družstev'!$A$1:$HH$1,0)+0)="","",INDEX('Data družstev'!$A$3:$HH$116,108,MATCH($B$3,'Data družstev'!$A$1:$HH$1,0)+0)),"")</f>
        <v/>
      </c>
      <c r="B114" s="53" t="str">
        <f>IFERROR(IF(INDEX('Data družstev'!$A$3:$HH$116,108,MATCH($B$3,'Data družstev'!$A$1:$HH$1,0)+1)="","",INDEX('Data družstev'!$A$3:$HH$116,108,MATCH($B$3,'Data družstev'!$A$1:$HH$1,0)+1)),"")</f>
        <v/>
      </c>
      <c r="C114" s="53" t="str">
        <f>IFERROR(IF(INDEX('Data družstev'!$A$3:$HH$116,108,MATCH($B$3,'Data družstev'!$A$1:$HH$1,0)+2)="","",INDEX('Data družstev'!$A$3:$HH$116,108,MATCH($B$3,'Data družstev'!$A$1:$HH$1,0)+2)),"")</f>
        <v/>
      </c>
      <c r="D114" s="53" t="str">
        <f>IFERROR(IF(INDEX('Data družstev'!$A$3:$HH$116,108,MATCH($B$3,'Data družstev'!$A$1:$HH$1,0)+3)="","",INDEX('Data družstev'!$A$3:$HH$116,108,MATCH($B$3,'Data družstev'!$A$1:$HH$1,0)+3)),"")</f>
        <v/>
      </c>
      <c r="E114" s="65" t="str">
        <f>IFERROR(IF(INDEX('Data družstev'!$A$3:$HH$116,108,MATCH($B$3,'Data družstev'!$A$1:$HH$1,0)+4)="","",INDEX('Data družstev'!$A$3:$HH$116,108,MATCH($B$3,'Data družstev'!$A$1:$HH$1,0)+4)),"")</f>
        <v/>
      </c>
      <c r="F114" s="53" t="str">
        <f>IFERROR(IF(INDEX('Data družstev'!$A$3:$HH$116,108,MATCH($B$3,'Data družstev'!$A$1:$HH$1,0)+5)="","",INDEX('Data družstev'!$A$3:$HH$116,108,MATCH($B$3,'Data družstev'!$A$1:$HH$1,0)+5)),"")</f>
        <v/>
      </c>
      <c r="G114" s="53" t="str">
        <f>IFERROR(IF(INDEX('Data družstev'!$A$3:$HH$116,108,MATCH($B$3,'Data družstev'!$A$1:$HH$1,0)+6)="","",INDEX('Data družstev'!$A$3:$HH$116,108,MATCH($B$3,'Data družstev'!$A$1:$HH$1,0)+6)),"")</f>
        <v/>
      </c>
      <c r="H114" s="53" t="str">
        <f>IFERROR(IF(INDEX('Data družstev'!$A$3:$HH$116,108,MATCH($B$3,'Data družstev'!$A$1:$HH$1,0)+7)="","",INDEX('Data družstev'!$A$3:$HH$116,108,MATCH($B$3,'Data družstev'!$A$1:$HH$1,0)+7)),"")</f>
        <v/>
      </c>
      <c r="I114" s="53" t="str">
        <f>IFERROR(IF(INDEX('Data družstev'!$A$3:$HH$116,108,MATCH($B$3,'Data družstev'!$A$1:$HH$1,0)+8)="","",INDEX('Data družstev'!$A$3:$HH$116,108,MATCH($B$3,'Data družstev'!$A$1:$HH$1,0)+8)),"")</f>
        <v/>
      </c>
    </row>
    <row r="115" spans="1:9" ht="27.95" customHeight="1" x14ac:dyDescent="0.2">
      <c r="A115" s="62" t="str">
        <f>IFERROR(IF(INDEX('Data družstev'!$A$3:$HH$116,109,MATCH($B$3,'Data družstev'!$A$1:$HH$1,0)+0)="","",INDEX('Data družstev'!$A$3:$HH$116,109,MATCH($B$3,'Data družstev'!$A$1:$HH$1,0)+0)),"")</f>
        <v/>
      </c>
      <c r="B115" s="53" t="str">
        <f>IFERROR(IF(INDEX('Data družstev'!$A$3:$HH$116,109,MATCH($B$3,'Data družstev'!$A$1:$HH$1,0)+1)="","",INDEX('Data družstev'!$A$3:$HH$116,109,MATCH($B$3,'Data družstev'!$A$1:$HH$1,0)+1)),"")</f>
        <v/>
      </c>
      <c r="C115" s="53" t="str">
        <f>IFERROR(IF(INDEX('Data družstev'!$A$3:$HH$116,109,MATCH($B$3,'Data družstev'!$A$1:$HH$1,0)+2)="","",INDEX('Data družstev'!$A$3:$HH$116,109,MATCH($B$3,'Data družstev'!$A$1:$HH$1,0)+2)),"")</f>
        <v/>
      </c>
      <c r="D115" s="53" t="str">
        <f>IFERROR(IF(INDEX('Data družstev'!$A$3:$HH$116,109,MATCH($B$3,'Data družstev'!$A$1:$HH$1,0)+3)="","",INDEX('Data družstev'!$A$3:$HH$116,109,MATCH($B$3,'Data družstev'!$A$1:$HH$1,0)+3)),"")</f>
        <v/>
      </c>
      <c r="E115" s="65" t="str">
        <f>IFERROR(IF(INDEX('Data družstev'!$A$3:$HH$116,109,MATCH($B$3,'Data družstev'!$A$1:$HH$1,0)+4)="","",INDEX('Data družstev'!$A$3:$HH$116,109,MATCH($B$3,'Data družstev'!$A$1:$HH$1,0)+4)),"")</f>
        <v/>
      </c>
      <c r="F115" s="53" t="str">
        <f>IFERROR(IF(INDEX('Data družstev'!$A$3:$HH$116,109,MATCH($B$3,'Data družstev'!$A$1:$HH$1,0)+5)="","",INDEX('Data družstev'!$A$3:$HH$116,109,MATCH($B$3,'Data družstev'!$A$1:$HH$1,0)+5)),"")</f>
        <v/>
      </c>
      <c r="G115" s="53" t="str">
        <f>IFERROR(IF(INDEX('Data družstev'!$A$3:$HH$116,109,MATCH($B$3,'Data družstev'!$A$1:$HH$1,0)+6)="","",INDEX('Data družstev'!$A$3:$HH$116,109,MATCH($B$3,'Data družstev'!$A$1:$HH$1,0)+6)),"")</f>
        <v/>
      </c>
      <c r="H115" s="53" t="str">
        <f>IFERROR(IF(INDEX('Data družstev'!$A$3:$HH$116,109,MATCH($B$3,'Data družstev'!$A$1:$HH$1,0)+7)="","",INDEX('Data družstev'!$A$3:$HH$116,109,MATCH($B$3,'Data družstev'!$A$1:$HH$1,0)+7)),"")</f>
        <v/>
      </c>
      <c r="I115" s="53" t="str">
        <f>IFERROR(IF(INDEX('Data družstev'!$A$3:$HH$116,109,MATCH($B$3,'Data družstev'!$A$1:$HH$1,0)+8)="","",INDEX('Data družstev'!$A$3:$HH$116,109,MATCH($B$3,'Data družstev'!$A$1:$HH$1,0)+8)),"")</f>
        <v/>
      </c>
    </row>
    <row r="116" spans="1:9" ht="27.95" customHeight="1" x14ac:dyDescent="0.2">
      <c r="A116" s="62" t="str">
        <f>IFERROR(IF(INDEX('Data družstev'!$A$3:$HH$116,110,MATCH($B$3,'Data družstev'!$A$1:$HH$1,0)+0)="","",INDEX('Data družstev'!$A$3:$HH$116,110,MATCH($B$3,'Data družstev'!$A$1:$HH$1,0)+0)),"")</f>
        <v/>
      </c>
      <c r="B116" s="53" t="str">
        <f>IFERROR(IF(INDEX('Data družstev'!$A$3:$HH$116,110,MATCH($B$3,'Data družstev'!$A$1:$HH$1,0)+1)="","",INDEX('Data družstev'!$A$3:$HH$116,110,MATCH($B$3,'Data družstev'!$A$1:$HH$1,0)+1)),"")</f>
        <v/>
      </c>
      <c r="C116" s="53" t="str">
        <f>IFERROR(IF(INDEX('Data družstev'!$A$3:$HH$116,110,MATCH($B$3,'Data družstev'!$A$1:$HH$1,0)+2)="","",INDEX('Data družstev'!$A$3:$HH$116,110,MATCH($B$3,'Data družstev'!$A$1:$HH$1,0)+2)),"")</f>
        <v/>
      </c>
      <c r="D116" s="53" t="str">
        <f>IFERROR(IF(INDEX('Data družstev'!$A$3:$HH$116,110,MATCH($B$3,'Data družstev'!$A$1:$HH$1,0)+3)="","",INDEX('Data družstev'!$A$3:$HH$116,110,MATCH($B$3,'Data družstev'!$A$1:$HH$1,0)+3)),"")</f>
        <v/>
      </c>
      <c r="E116" s="65" t="str">
        <f>IFERROR(IF(INDEX('Data družstev'!$A$3:$HH$116,110,MATCH($B$3,'Data družstev'!$A$1:$HH$1,0)+4)="","",INDEX('Data družstev'!$A$3:$HH$116,110,MATCH($B$3,'Data družstev'!$A$1:$HH$1,0)+4)),"")</f>
        <v/>
      </c>
      <c r="F116" s="53" t="str">
        <f>IFERROR(IF(INDEX('Data družstev'!$A$3:$HH$116,110,MATCH($B$3,'Data družstev'!$A$1:$HH$1,0)+5)="","",INDEX('Data družstev'!$A$3:$HH$116,110,MATCH($B$3,'Data družstev'!$A$1:$HH$1,0)+5)),"")</f>
        <v/>
      </c>
      <c r="G116" s="53" t="str">
        <f>IFERROR(IF(INDEX('Data družstev'!$A$3:$HH$116,110,MATCH($B$3,'Data družstev'!$A$1:$HH$1,0)+6)="","",INDEX('Data družstev'!$A$3:$HH$116,110,MATCH($B$3,'Data družstev'!$A$1:$HH$1,0)+6)),"")</f>
        <v/>
      </c>
      <c r="H116" s="53" t="str">
        <f>IFERROR(IF(INDEX('Data družstev'!$A$3:$HH$116,110,MATCH($B$3,'Data družstev'!$A$1:$HH$1,0)+7)="","",INDEX('Data družstev'!$A$3:$HH$116,110,MATCH($B$3,'Data družstev'!$A$1:$HH$1,0)+7)),"")</f>
        <v/>
      </c>
      <c r="I116" s="53" t="str">
        <f>IFERROR(IF(INDEX('Data družstev'!$A$3:$HH$116,110,MATCH($B$3,'Data družstev'!$A$1:$HH$1,0)+8)="","",INDEX('Data družstev'!$A$3:$HH$116,110,MATCH($B$3,'Data družstev'!$A$1:$HH$1,0)+8)),"")</f>
        <v/>
      </c>
    </row>
    <row r="117" spans="1:9" ht="27.95" customHeight="1" x14ac:dyDescent="0.2">
      <c r="A117" s="62" t="str">
        <f>IFERROR(IF(INDEX('Data družstev'!$A$3:$HH$116,111,MATCH($B$3,'Data družstev'!$A$1:$HH$1,0)+0)="","",INDEX('Data družstev'!$A$3:$HH$116,111,MATCH($B$3,'Data družstev'!$A$1:$HH$1,0)+0)),"")</f>
        <v/>
      </c>
      <c r="B117" s="53" t="str">
        <f>IFERROR(IF(INDEX('Data družstev'!$A$3:$HH$116,111,MATCH($B$3,'Data družstev'!$A$1:$HH$1,0)+1)="","",INDEX('Data družstev'!$A$3:$HH$116,111,MATCH($B$3,'Data družstev'!$A$1:$HH$1,0)+1)),"")</f>
        <v/>
      </c>
      <c r="C117" s="53" t="str">
        <f>IFERROR(IF(INDEX('Data družstev'!$A$3:$HH$116,111,MATCH($B$3,'Data družstev'!$A$1:$HH$1,0)+2)="","",INDEX('Data družstev'!$A$3:$HH$116,111,MATCH($B$3,'Data družstev'!$A$1:$HH$1,0)+2)),"")</f>
        <v/>
      </c>
      <c r="D117" s="53" t="str">
        <f>IFERROR(IF(INDEX('Data družstev'!$A$3:$HH$116,111,MATCH($B$3,'Data družstev'!$A$1:$HH$1,0)+3)="","",INDEX('Data družstev'!$A$3:$HH$116,111,MATCH($B$3,'Data družstev'!$A$1:$HH$1,0)+3)),"")</f>
        <v/>
      </c>
      <c r="E117" s="65" t="str">
        <f>IFERROR(IF(INDEX('Data družstev'!$A$3:$HH$116,111,MATCH($B$3,'Data družstev'!$A$1:$HH$1,0)+4)="","",INDEX('Data družstev'!$A$3:$HH$116,111,MATCH($B$3,'Data družstev'!$A$1:$HH$1,0)+4)),"")</f>
        <v/>
      </c>
      <c r="F117" s="53" t="str">
        <f>IFERROR(IF(INDEX('Data družstev'!$A$3:$HH$116,111,MATCH($B$3,'Data družstev'!$A$1:$HH$1,0)+5)="","",INDEX('Data družstev'!$A$3:$HH$116,111,MATCH($B$3,'Data družstev'!$A$1:$HH$1,0)+5)),"")</f>
        <v/>
      </c>
      <c r="G117" s="53" t="str">
        <f>IFERROR(IF(INDEX('Data družstev'!$A$3:$HH$116,111,MATCH($B$3,'Data družstev'!$A$1:$HH$1,0)+6)="","",INDEX('Data družstev'!$A$3:$HH$116,111,MATCH($B$3,'Data družstev'!$A$1:$HH$1,0)+6)),"")</f>
        <v/>
      </c>
      <c r="H117" s="53" t="str">
        <f>IFERROR(IF(INDEX('Data družstev'!$A$3:$HH$116,111,MATCH($B$3,'Data družstev'!$A$1:$HH$1,0)+7)="","",INDEX('Data družstev'!$A$3:$HH$116,111,MATCH($B$3,'Data družstev'!$A$1:$HH$1,0)+7)),"")</f>
        <v/>
      </c>
      <c r="I117" s="53" t="str">
        <f>IFERROR(IF(INDEX('Data družstev'!$A$3:$HH$116,111,MATCH($B$3,'Data družstev'!$A$1:$HH$1,0)+8)="","",INDEX('Data družstev'!$A$3:$HH$116,111,MATCH($B$3,'Data družstev'!$A$1:$HH$1,0)+8)),"")</f>
        <v/>
      </c>
    </row>
    <row r="118" spans="1:9" ht="27.95" customHeight="1" x14ac:dyDescent="0.2">
      <c r="A118" s="62" t="str">
        <f>IFERROR(IF(INDEX('Data družstev'!$A$3:$HH$116,112,MATCH($B$3,'Data družstev'!$A$1:$HH$1,0)+0)="","",INDEX('Data družstev'!$A$3:$HH$116,112,MATCH($B$3,'Data družstev'!$A$1:$HH$1,0)+0)),"")</f>
        <v/>
      </c>
      <c r="B118" s="53" t="str">
        <f>IFERROR(IF(INDEX('Data družstev'!$A$3:$HH$116,112,MATCH($B$3,'Data družstev'!$A$1:$HH$1,0)+1)="","",INDEX('Data družstev'!$A$3:$HH$116,112,MATCH($B$3,'Data družstev'!$A$1:$HH$1,0)+1)),"")</f>
        <v/>
      </c>
      <c r="C118" s="53" t="str">
        <f>IFERROR(IF(INDEX('Data družstev'!$A$3:$HH$116,112,MATCH($B$3,'Data družstev'!$A$1:$HH$1,0)+2)="","",INDEX('Data družstev'!$A$3:$HH$116,112,MATCH($B$3,'Data družstev'!$A$1:$HH$1,0)+2)),"")</f>
        <v/>
      </c>
      <c r="D118" s="53" t="str">
        <f>IFERROR(IF(INDEX('Data družstev'!$A$3:$HH$116,112,MATCH($B$3,'Data družstev'!$A$1:$HH$1,0)+3)="","",INDEX('Data družstev'!$A$3:$HH$116,112,MATCH($B$3,'Data družstev'!$A$1:$HH$1,0)+3)),"")</f>
        <v/>
      </c>
      <c r="E118" s="65" t="str">
        <f>IFERROR(IF(INDEX('Data družstev'!$A$3:$HH$116,112,MATCH($B$3,'Data družstev'!$A$1:$HH$1,0)+4)="","",INDEX('Data družstev'!$A$3:$HH$116,112,MATCH($B$3,'Data družstev'!$A$1:$HH$1,0)+4)),"")</f>
        <v/>
      </c>
      <c r="F118" s="53" t="str">
        <f>IFERROR(IF(INDEX('Data družstev'!$A$3:$HH$116,112,MATCH($B$3,'Data družstev'!$A$1:$HH$1,0)+5)="","",INDEX('Data družstev'!$A$3:$HH$116,112,MATCH($B$3,'Data družstev'!$A$1:$HH$1,0)+5)),"")</f>
        <v/>
      </c>
      <c r="G118" s="53" t="str">
        <f>IFERROR(IF(INDEX('Data družstev'!$A$3:$HH$116,112,MATCH($B$3,'Data družstev'!$A$1:$HH$1,0)+6)="","",INDEX('Data družstev'!$A$3:$HH$116,112,MATCH($B$3,'Data družstev'!$A$1:$HH$1,0)+6)),"")</f>
        <v/>
      </c>
      <c r="H118" s="53" t="str">
        <f>IFERROR(IF(INDEX('Data družstev'!$A$3:$HH$116,112,MATCH($B$3,'Data družstev'!$A$1:$HH$1,0)+7)="","",INDEX('Data družstev'!$A$3:$HH$116,112,MATCH($B$3,'Data družstev'!$A$1:$HH$1,0)+7)),"")</f>
        <v/>
      </c>
      <c r="I118" s="53" t="str">
        <f>IFERROR(IF(INDEX('Data družstev'!$A$3:$HH$116,112,MATCH($B$3,'Data družstev'!$A$1:$HH$1,0)+8)="","",INDEX('Data družstev'!$A$3:$HH$116,112,MATCH($B$3,'Data družstev'!$A$1:$HH$1,0)+8)),"")</f>
        <v/>
      </c>
    </row>
    <row r="119" spans="1:9" ht="27.95" customHeight="1" x14ac:dyDescent="0.2">
      <c r="A119" s="62" t="str">
        <f>IFERROR(IF(INDEX('Data družstev'!$A$3:$HH$116,113,MATCH($B$3,'Data družstev'!$A$1:$HH$1,0)+0)="","",INDEX('Data družstev'!$A$3:$HH$116,113,MATCH($B$3,'Data družstev'!$A$1:$HH$1,0)+0)),"")</f>
        <v/>
      </c>
      <c r="B119" s="53" t="str">
        <f>IFERROR(IF(INDEX('Data družstev'!$A$3:$HH$116,113,MATCH($B$3,'Data družstev'!$A$1:$HH$1,0)+1)="","",INDEX('Data družstev'!$A$3:$HH$116,113,MATCH($B$3,'Data družstev'!$A$1:$HH$1,0)+1)),"")</f>
        <v/>
      </c>
      <c r="C119" s="53" t="str">
        <f>IFERROR(IF(INDEX('Data družstev'!$A$3:$HH$116,113,MATCH($B$3,'Data družstev'!$A$1:$HH$1,0)+2)="","",INDEX('Data družstev'!$A$3:$HH$116,113,MATCH($B$3,'Data družstev'!$A$1:$HH$1,0)+2)),"")</f>
        <v/>
      </c>
      <c r="D119" s="53" t="str">
        <f>IFERROR(IF(INDEX('Data družstev'!$A$3:$HH$116,113,MATCH($B$3,'Data družstev'!$A$1:$HH$1,0)+3)="","",INDEX('Data družstev'!$A$3:$HH$116,113,MATCH($B$3,'Data družstev'!$A$1:$HH$1,0)+3)),"")</f>
        <v/>
      </c>
      <c r="E119" s="65" t="str">
        <f>IFERROR(IF(INDEX('Data družstev'!$A$3:$HH$116,113,MATCH($B$3,'Data družstev'!$A$1:$HH$1,0)+4)="","",INDEX('Data družstev'!$A$3:$HH$116,113,MATCH($B$3,'Data družstev'!$A$1:$HH$1,0)+4)),"")</f>
        <v/>
      </c>
      <c r="F119" s="53" t="str">
        <f>IFERROR(IF(INDEX('Data družstev'!$A$3:$HH$116,113,MATCH($B$3,'Data družstev'!$A$1:$HH$1,0)+5)="","",INDEX('Data družstev'!$A$3:$HH$116,113,MATCH($B$3,'Data družstev'!$A$1:$HH$1,0)+5)),"")</f>
        <v/>
      </c>
      <c r="G119" s="53" t="str">
        <f>IFERROR(IF(INDEX('Data družstev'!$A$3:$HH$116,113,MATCH($B$3,'Data družstev'!$A$1:$HH$1,0)+6)="","",INDEX('Data družstev'!$A$3:$HH$116,113,MATCH($B$3,'Data družstev'!$A$1:$HH$1,0)+6)),"")</f>
        <v/>
      </c>
      <c r="H119" s="53" t="str">
        <f>IFERROR(IF(INDEX('Data družstev'!$A$3:$HH$116,113,MATCH($B$3,'Data družstev'!$A$1:$HH$1,0)+7)="","",INDEX('Data družstev'!$A$3:$HH$116,113,MATCH($B$3,'Data družstev'!$A$1:$HH$1,0)+7)),"")</f>
        <v/>
      </c>
      <c r="I119" s="53" t="str">
        <f>IFERROR(IF(INDEX('Data družstev'!$A$3:$HH$116,113,MATCH($B$3,'Data družstev'!$A$1:$HH$1,0)+8)="","",INDEX('Data družstev'!$A$3:$HH$116,113,MATCH($B$3,'Data družstev'!$A$1:$HH$1,0)+8)),"")</f>
        <v/>
      </c>
    </row>
    <row r="120" spans="1:9" ht="27.95" customHeight="1" x14ac:dyDescent="0.2">
      <c r="A120" s="63" t="str">
        <f>IFERROR(IF(INDEX('Data družstev'!$A$3:$HH$116,114,MATCH($B$3,'Data družstev'!$A$1:$HH$1,0)+0)="","",INDEX('Data družstev'!$A$3:$HH$116,114,MATCH($B$3,'Data družstev'!$A$1:$HH$1,0)+0)),"")</f>
        <v/>
      </c>
      <c r="B120" s="54" t="str">
        <f>IFERROR(IF(INDEX('Data družstev'!$A$3:$HH$116,114,MATCH($B$3,'Data družstev'!$A$1:$HH$1,0)+1)="","",INDEX('Data družstev'!$A$3:$HH$116,114,MATCH($B$3,'Data družstev'!$A$1:$HH$1,0)+1)),"")</f>
        <v/>
      </c>
      <c r="C120" s="54" t="str">
        <f>IFERROR(IF(INDEX('Data družstev'!$A$3:$HH$116,114,MATCH($B$3,'Data družstev'!$A$1:$HH$1,0)+2)="","",INDEX('Data družstev'!$A$3:$HH$116,114,MATCH($B$3,'Data družstev'!$A$1:$HH$1,0)+2)),"")</f>
        <v/>
      </c>
      <c r="D120" s="54" t="str">
        <f>IFERROR(IF(INDEX('Data družstev'!$A$3:$HH$116,114,MATCH($B$3,'Data družstev'!$A$1:$HH$1,0)+3)="","",INDEX('Data družstev'!$A$3:$HH$116,114,MATCH($B$3,'Data družstev'!$A$1:$HH$1,0)+3)),"")</f>
        <v/>
      </c>
      <c r="E120" s="66" t="str">
        <f>IFERROR(IF(INDEX('Data družstev'!$A$3:$HH$116,114,MATCH($B$3,'Data družstev'!$A$1:$HH$1,0)+4)="","",INDEX('Data družstev'!$A$3:$HH$116,114,MATCH($B$3,'Data družstev'!$A$1:$HH$1,0)+4)),"")</f>
        <v/>
      </c>
      <c r="F120" s="54" t="str">
        <f>IFERROR(IF(INDEX('Data družstev'!$A$3:$HH$116,114,MATCH($B$3,'Data družstev'!$A$1:$HH$1,0)+5)="","",INDEX('Data družstev'!$A$3:$HH$116,114,MATCH($B$3,'Data družstev'!$A$1:$HH$1,0)+5)),"")</f>
        <v/>
      </c>
      <c r="G120" s="54" t="str">
        <f>IFERROR(IF(INDEX('Data družstev'!$A$3:$HH$116,114,MATCH($B$3,'Data družstev'!$A$1:$HH$1,0)+6)="","",INDEX('Data družstev'!$A$3:$HH$116,114,MATCH($B$3,'Data družstev'!$A$1:$HH$1,0)+6)),"")</f>
        <v/>
      </c>
      <c r="H120" s="54" t="str">
        <f>IFERROR(IF(INDEX('Data družstev'!$A$3:$HH$116,114,MATCH($B$3,'Data družstev'!$A$1:$HH$1,0)+7)="","",INDEX('Data družstev'!$A$3:$HH$116,114,MATCH($B$3,'Data družstev'!$A$1:$HH$1,0)+7)),"")</f>
        <v/>
      </c>
      <c r="I120" s="54" t="str">
        <f>IFERROR(IF(INDEX('Data družstev'!$A$3:$HH$116,114,MATCH($B$3,'Data družstev'!$A$1:$HH$1,0)+8)="","",INDEX('Data družstev'!$A$3:$HH$116,114,MATCH($B$3,'Data družstev'!$A$1:$HH$1,0)+8)),"")</f>
        <v/>
      </c>
    </row>
  </sheetData>
  <mergeCells count="4">
    <mergeCell ref="A1:I1"/>
    <mergeCell ref="B3:C3"/>
    <mergeCell ref="B4:C4"/>
    <mergeCell ref="D3:I4"/>
  </mergeCells>
  <conditionalFormatting sqref="A7:I120">
    <cfRule type="expression" dxfId="6" priority="1">
      <formula>$A7=_xludf.MINIFS($A$7:$A$120,$A$7:$A$120,"&gt;="&amp;TODAY())</formula>
    </cfRule>
  </conditionalFormatting>
  <conditionalFormatting sqref="I7:I120">
    <cfRule type="containsText" dxfId="5" priority="2" operator="containsText" text="Odehráno"/>
    <cfRule type="containsText" dxfId="4" priority="3" operator="containsText" text="Dnes"/>
    <cfRule type="containsText" dxfId="3" priority="4" operator="containsText" text="Nadcházející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xr:uid="{00000000-0002-0000-0300-000000000000}">
          <x14:formula1>
            <xm:f>'Seznam zápasů'!$M$2:$M$25</xm:f>
          </x14:formula1>
          <xm:sqref>B3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20"/>
  <sheetViews>
    <sheetView showGridLines="0" workbookViewId="0"/>
  </sheetViews>
  <sheetFormatPr defaultRowHeight="12.75" x14ac:dyDescent="0.2"/>
  <cols>
    <col min="1" max="1" width="13.7109375" customWidth="1"/>
    <col min="2" max="2" width="6.28515625" customWidth="1"/>
    <col min="3" max="3" width="13.7109375" customWidth="1"/>
    <col min="4" max="4" width="28.7109375" customWidth="1"/>
    <col min="5" max="5" width="11.85546875" customWidth="1"/>
    <col min="6" max="6" width="8.140625" customWidth="1"/>
    <col min="7" max="7" width="18.7109375" customWidth="1"/>
    <col min="8" max="8" width="26.28515625" customWidth="1"/>
    <col min="9" max="9" width="13.140625" customWidth="1"/>
  </cols>
  <sheetData>
    <row r="1" spans="1:9" ht="36" customHeight="1" x14ac:dyDescent="0.2">
      <c r="A1" s="110" t="str">
        <f>"ROZPIS ZÁPASŮ • "&amp;'Výběr družstva'!B3</f>
        <v>ROZPIS ZÁPASŮ • žákyně U14</v>
      </c>
      <c r="B1" s="110"/>
      <c r="C1" s="110"/>
      <c r="D1" s="110"/>
      <c r="E1" s="110"/>
      <c r="F1" s="110"/>
      <c r="G1" s="110"/>
      <c r="H1" s="110"/>
      <c r="I1" s="110"/>
    </row>
    <row r="3" spans="1:9" x14ac:dyDescent="0.2">
      <c r="A3" s="55" t="s">
        <v>512</v>
      </c>
      <c r="B3" s="117" t="str">
        <f>'Výběr družstva'!B3</f>
        <v>žákyně U14</v>
      </c>
      <c r="C3" s="117"/>
      <c r="D3" s="117"/>
      <c r="F3" s="55" t="s">
        <v>855</v>
      </c>
      <c r="G3" s="117" t="s">
        <v>854</v>
      </c>
      <c r="H3" s="117"/>
      <c r="I3" s="117"/>
    </row>
    <row r="5" spans="1:9" ht="13.5" x14ac:dyDescent="0.2">
      <c r="A5" s="56" t="s">
        <v>510</v>
      </c>
      <c r="B5" s="56" t="s">
        <v>511</v>
      </c>
      <c r="C5" s="56" t="s">
        <v>513</v>
      </c>
      <c r="D5" s="56" t="s">
        <v>514</v>
      </c>
      <c r="E5" s="56" t="s">
        <v>515</v>
      </c>
      <c r="F5" s="56" t="s">
        <v>516</v>
      </c>
      <c r="G5" s="56" t="s">
        <v>517</v>
      </c>
      <c r="H5" s="56" t="s">
        <v>518</v>
      </c>
      <c r="I5" s="56" t="s">
        <v>519</v>
      </c>
    </row>
    <row r="6" spans="1:9" ht="27" customHeight="1" x14ac:dyDescent="0.2">
      <c r="A6" s="61">
        <f>IF('Výběr družstva'!A7="","",'Výběr družstva'!A7)</f>
        <v>46284</v>
      </c>
      <c r="B6" s="52" t="str">
        <f>IF('Výběr družstva'!B7="","",'Výběr družstva'!B7)</f>
        <v>So</v>
      </c>
      <c r="C6" s="52" t="str">
        <f>IF('Výběr družstva'!C7="","",'Výběr družstva'!C7)</f>
        <v>žákovská liga</v>
      </c>
      <c r="D6" s="52" t="str">
        <f>IF('Výběr družstva'!D7="","",'Výběr družstva'!D7)</f>
        <v>Vlčice Žďár</v>
      </c>
      <c r="E6" s="64" t="str">
        <f>IF('Výběr družstva'!E7="","",'Výběr družstva'!E7)</f>
        <v>122</v>
      </c>
      <c r="F6" s="52" t="str">
        <f>IF('Výběr družstva'!F7="","",'Výběr družstva'!F7)</f>
        <v/>
      </c>
      <c r="G6" s="52" t="str">
        <f>IF('Výběr družstva'!G7="","",'Výběr družstva'!G7)</f>
        <v/>
      </c>
      <c r="H6" s="52" t="str">
        <f>IF('Výběr družstva'!H7="","",'Výběr družstva'!H7)</f>
        <v/>
      </c>
      <c r="I6" s="52" t="str">
        <f ca="1">IF('Výběr družstva'!I7="","",'Výběr družstva'!I7)</f>
        <v>Nadcházející</v>
      </c>
    </row>
    <row r="7" spans="1:9" ht="27" customHeight="1" x14ac:dyDescent="0.2">
      <c r="A7" s="62">
        <f>IF('Výběr družstva'!A8="","",'Výběr družstva'!A8)</f>
        <v>46285</v>
      </c>
      <c r="B7" s="53" t="str">
        <f>IF('Výběr družstva'!B8="","",'Výběr družstva'!B8)</f>
        <v>Ne</v>
      </c>
      <c r="C7" s="53" t="str">
        <f>IF('Výběr družstva'!C8="","",'Výběr družstva'!C8)</f>
        <v>žákovská liga</v>
      </c>
      <c r="D7" s="53" t="str">
        <f>IF('Výběr družstva'!D8="","",'Výběr družstva'!D8)</f>
        <v>BK Blansko</v>
      </c>
      <c r="E7" s="65" t="str">
        <f>IF('Výběr družstva'!E8="","",'Výběr družstva'!E8)</f>
        <v>124</v>
      </c>
      <c r="F7" s="53" t="str">
        <f>IF('Výběr družstva'!F8="","",'Výběr družstva'!F8)</f>
        <v/>
      </c>
      <c r="G7" s="53" t="str">
        <f>IF('Výběr družstva'!G8="","",'Výběr družstva'!G8)</f>
        <v/>
      </c>
      <c r="H7" s="53" t="str">
        <f>IF('Výběr družstva'!H8="","",'Výběr družstva'!H8)</f>
        <v/>
      </c>
      <c r="I7" s="53" t="str">
        <f ca="1">IF('Výběr družstva'!I8="","",'Výběr družstva'!I8)</f>
        <v>Nadcházející</v>
      </c>
    </row>
    <row r="8" spans="1:9" ht="27" customHeight="1" x14ac:dyDescent="0.2">
      <c r="A8" s="62">
        <f>IF('Výběr družstva'!A9="","",'Výběr družstva'!A9)</f>
        <v>46298</v>
      </c>
      <c r="B8" s="53" t="str">
        <f>IF('Výběr družstva'!B9="","",'Výběr družstva'!B9)</f>
        <v>So</v>
      </c>
      <c r="C8" s="53" t="str">
        <f>IF('Výběr družstva'!C9="","",'Výběr družstva'!C9)</f>
        <v>žákovská liga</v>
      </c>
      <c r="D8" s="53" t="str">
        <f>IF('Výběr družstva'!D9="","",'Výběr družstva'!D9)</f>
        <v>Žabiny Brno</v>
      </c>
      <c r="E8" s="65" t="str">
        <f>IF('Výběr družstva'!E9="","",'Výběr družstva'!E9)</f>
        <v>127</v>
      </c>
      <c r="F8" s="53" t="str">
        <f>IF('Výběr družstva'!F9="","",'Výběr družstva'!F9)</f>
        <v/>
      </c>
      <c r="G8" s="53" t="str">
        <f>IF('Výběr družstva'!G9="","",'Výběr družstva'!G9)</f>
        <v/>
      </c>
      <c r="H8" s="53" t="str">
        <f>IF('Výběr družstva'!H9="","",'Výběr družstva'!H9)</f>
        <v/>
      </c>
      <c r="I8" s="53" t="str">
        <f ca="1">IF('Výběr družstva'!I9="","",'Výběr družstva'!I9)</f>
        <v>Nadcházející</v>
      </c>
    </row>
    <row r="9" spans="1:9" ht="27" customHeight="1" x14ac:dyDescent="0.2">
      <c r="A9" s="62">
        <f>IF('Výběr družstva'!A10="","",'Výběr družstva'!A10)</f>
        <v>46299</v>
      </c>
      <c r="B9" s="53" t="str">
        <f>IF('Výběr družstva'!B10="","",'Výběr družstva'!B10)</f>
        <v>Ne</v>
      </c>
      <c r="C9" s="53" t="str">
        <f>IF('Výběr družstva'!C10="","",'Výběr družstva'!C10)</f>
        <v>žákovská liga</v>
      </c>
      <c r="D9" s="53" t="str">
        <f>IF('Výběr družstva'!D10="","",'Výběr družstva'!D10)</f>
        <v>Žabiny Brno B</v>
      </c>
      <c r="E9" s="65" t="str">
        <f>IF('Výběr družstva'!E10="","",'Výběr družstva'!E10)</f>
        <v>130</v>
      </c>
      <c r="F9" s="53" t="str">
        <f>IF('Výběr družstva'!F10="","",'Výběr družstva'!F10)</f>
        <v/>
      </c>
      <c r="G9" s="53" t="str">
        <f>IF('Výběr družstva'!G10="","",'Výběr družstva'!G10)</f>
        <v/>
      </c>
      <c r="H9" s="53" t="str">
        <f>IF('Výběr družstva'!H10="","",'Výběr družstva'!H10)</f>
        <v/>
      </c>
      <c r="I9" s="53" t="str">
        <f ca="1">IF('Výběr družstva'!I10="","",'Výběr družstva'!I10)</f>
        <v>Nadcházející</v>
      </c>
    </row>
    <row r="10" spans="1:9" ht="27" customHeight="1" x14ac:dyDescent="0.2">
      <c r="A10" s="62">
        <f>IF('Výběr družstva'!A11="","",'Výběr družstva'!A11)</f>
        <v>46312</v>
      </c>
      <c r="B10" s="53" t="str">
        <f>IF('Výběr družstva'!B11="","",'Výběr družstva'!B11)</f>
        <v>So</v>
      </c>
      <c r="C10" s="53" t="str">
        <f>IF('Výběr družstva'!C11="","",'Výběr družstva'!C11)</f>
        <v>žákovská liga</v>
      </c>
      <c r="D10" s="53" t="str">
        <f>IF('Výběr družstva'!D11="","",'Výběr družstva'!D11)</f>
        <v>Studánka Pardubice</v>
      </c>
      <c r="E10" s="65" t="str">
        <f>IF('Výběr družstva'!E11="","",'Výběr družstva'!E11)</f>
        <v>131</v>
      </c>
      <c r="F10" s="53" t="str">
        <f>IF('Výběr družstva'!F11="","",'Výběr družstva'!F11)</f>
        <v/>
      </c>
      <c r="G10" s="53" t="str">
        <f>IF('Výběr družstva'!G11="","",'Výběr družstva'!G11)</f>
        <v/>
      </c>
      <c r="H10" s="53" t="str">
        <f>IF('Výběr družstva'!H11="","",'Výběr družstva'!H11)</f>
        <v/>
      </c>
      <c r="I10" s="53" t="str">
        <f ca="1">IF('Výběr družstva'!I11="","",'Výběr družstva'!I11)</f>
        <v>Nadcházející</v>
      </c>
    </row>
    <row r="11" spans="1:9" ht="27" customHeight="1" x14ac:dyDescent="0.2">
      <c r="A11" s="62">
        <f>IF('Výběr družstva'!A12="","",'Výběr družstva'!A12)</f>
        <v>46333</v>
      </c>
      <c r="B11" s="53" t="str">
        <f>IF('Výběr družstva'!B12="","",'Výběr družstva'!B12)</f>
        <v>So</v>
      </c>
      <c r="C11" s="53" t="str">
        <f>IF('Výběr družstva'!C12="","",'Výběr družstva'!C12)</f>
        <v>žákovská liga</v>
      </c>
      <c r="D11" s="53" t="str">
        <f>IF('Výběr družstva'!D12="","",'Výběr družstva'!D12)</f>
        <v>BK Blansko</v>
      </c>
      <c r="E11" s="65" t="str">
        <f>IF('Výběr družstva'!E12="","",'Výběr družstva'!E12)</f>
        <v/>
      </c>
      <c r="F11" s="53" t="str">
        <f>IF('Výběr družstva'!F12="","",'Výběr družstva'!F12)</f>
        <v/>
      </c>
      <c r="G11" s="53" t="str">
        <f>IF('Výběr družstva'!G12="","",'Výběr družstva'!G12)</f>
        <v/>
      </c>
      <c r="H11" s="53" t="str">
        <f>IF('Výběr družstva'!H12="","",'Výběr družstva'!H12)</f>
        <v/>
      </c>
      <c r="I11" s="53" t="str">
        <f ca="1">IF('Výběr družstva'!I12="","",'Výběr družstva'!I12)</f>
        <v>Nadcházející</v>
      </c>
    </row>
    <row r="12" spans="1:9" ht="27" customHeight="1" x14ac:dyDescent="0.2">
      <c r="A12" s="62">
        <f>IF('Výběr družstva'!A13="","",'Výběr družstva'!A13)</f>
        <v>46334</v>
      </c>
      <c r="B12" s="53" t="str">
        <f>IF('Výběr družstva'!B13="","",'Výběr družstva'!B13)</f>
        <v>Ne</v>
      </c>
      <c r="C12" s="53" t="str">
        <f>IF('Výběr družstva'!C13="","",'Výběr družstva'!C13)</f>
        <v>žákovská liga</v>
      </c>
      <c r="D12" s="53" t="str">
        <f>IF('Výběr družstva'!D13="","",'Výběr družstva'!D13)</f>
        <v>Vlčice Žďár</v>
      </c>
      <c r="E12" s="65" t="str">
        <f>IF('Výběr družstva'!E13="","",'Výběr družstva'!E13)</f>
        <v>139</v>
      </c>
      <c r="F12" s="53" t="str">
        <f>IF('Výběr družstva'!F13="","",'Výběr družstva'!F13)</f>
        <v/>
      </c>
      <c r="G12" s="53" t="str">
        <f>IF('Výběr družstva'!G13="","",'Výběr družstva'!G13)</f>
        <v/>
      </c>
      <c r="H12" s="53" t="str">
        <f>IF('Výběr družstva'!H13="","",'Výběr družstva'!H13)</f>
        <v/>
      </c>
      <c r="I12" s="53" t="str">
        <f ca="1">IF('Výběr družstva'!I13="","",'Výběr družstva'!I13)</f>
        <v>Nadcházející</v>
      </c>
    </row>
    <row r="13" spans="1:9" ht="27" customHeight="1" x14ac:dyDescent="0.2">
      <c r="A13" s="62">
        <f>IF('Výběr družstva'!A14="","",'Výběr družstva'!A14)</f>
        <v>46347</v>
      </c>
      <c r="B13" s="53" t="str">
        <f>IF('Výběr družstva'!B14="","",'Výběr družstva'!B14)</f>
        <v>So</v>
      </c>
      <c r="C13" s="53" t="str">
        <f>IF('Výběr družstva'!C14="","",'Výběr družstva'!C14)</f>
        <v>žákovská liga</v>
      </c>
      <c r="D13" s="53" t="str">
        <f>IF('Výběr družstva'!D14="","",'Výběr družstva'!D14)</f>
        <v>Žabiny Brno B</v>
      </c>
      <c r="E13" s="65" t="str">
        <f>IF('Výběr družstva'!E14="","",'Výběr družstva'!E14)</f>
        <v>142</v>
      </c>
      <c r="F13" s="53" t="str">
        <f>IF('Výběr družstva'!F14="","",'Výběr družstva'!F14)</f>
        <v/>
      </c>
      <c r="G13" s="53" t="str">
        <f>IF('Výběr družstva'!G14="","",'Výběr družstva'!G14)</f>
        <v/>
      </c>
      <c r="H13" s="53" t="str">
        <f>IF('Výběr družstva'!H14="","",'Výběr družstva'!H14)</f>
        <v/>
      </c>
      <c r="I13" s="53" t="str">
        <f ca="1">IF('Výběr družstva'!I14="","",'Výběr družstva'!I14)</f>
        <v>Nadcházející</v>
      </c>
    </row>
    <row r="14" spans="1:9" ht="27" customHeight="1" x14ac:dyDescent="0.2">
      <c r="A14" s="62">
        <f>IF('Výběr družstva'!A15="","",'Výběr družstva'!A15)</f>
        <v>46348</v>
      </c>
      <c r="B14" s="53" t="str">
        <f>IF('Výběr družstva'!B15="","",'Výběr družstva'!B15)</f>
        <v>Ne</v>
      </c>
      <c r="C14" s="53" t="str">
        <f>IF('Výběr družstva'!C15="","",'Výběr družstva'!C15)</f>
        <v>žákovská liga</v>
      </c>
      <c r="D14" s="53" t="str">
        <f>IF('Výběr družstva'!D15="","",'Výběr družstva'!D15)</f>
        <v>Žabiny Brno</v>
      </c>
      <c r="E14" s="65" t="str">
        <f>IF('Výběr družstva'!E15="","",'Výběr družstva'!E15)</f>
        <v>144</v>
      </c>
      <c r="F14" s="53" t="str">
        <f>IF('Výběr družstva'!F15="","",'Výběr družstva'!F15)</f>
        <v/>
      </c>
      <c r="G14" s="53" t="str">
        <f>IF('Výběr družstva'!G15="","",'Výběr družstva'!G15)</f>
        <v/>
      </c>
      <c r="H14" s="53" t="str">
        <f>IF('Výběr družstva'!H15="","",'Výběr družstva'!H15)</f>
        <v/>
      </c>
      <c r="I14" s="53" t="str">
        <f ca="1">IF('Výběr družstva'!I15="","",'Výběr družstva'!I15)</f>
        <v>Nadcházející</v>
      </c>
    </row>
    <row r="15" spans="1:9" ht="27" customHeight="1" x14ac:dyDescent="0.2">
      <c r="A15" s="62">
        <f>IF('Výběr družstva'!A16="","",'Výběr družstva'!A16)</f>
        <v>46369</v>
      </c>
      <c r="B15" s="53" t="str">
        <f>IF('Výběr družstva'!B16="","",'Výběr družstva'!B16)</f>
        <v>Ne</v>
      </c>
      <c r="C15" s="53" t="str">
        <f>IF('Výběr družstva'!C16="","",'Výběr družstva'!C16)</f>
        <v>žákovská liga</v>
      </c>
      <c r="D15" s="53" t="str">
        <f>IF('Výběr družstva'!D16="","",'Výběr družstva'!D16)</f>
        <v>Studánka Pardubice</v>
      </c>
      <c r="E15" s="65" t="str">
        <f>IF('Výběr družstva'!E16="","",'Výběr družstva'!E16)</f>
        <v>148</v>
      </c>
      <c r="F15" s="53" t="str">
        <f>IF('Výběr družstva'!F16="","",'Výběr družstva'!F16)</f>
        <v/>
      </c>
      <c r="G15" s="53" t="str">
        <f>IF('Výběr družstva'!G16="","",'Výběr družstva'!G16)</f>
        <v/>
      </c>
      <c r="H15" s="53" t="str">
        <f>IF('Výběr družstva'!H16="","",'Výběr družstva'!H16)</f>
        <v/>
      </c>
      <c r="I15" s="53" t="str">
        <f ca="1">IF('Výběr družstva'!I16="","",'Výběr družstva'!I16)</f>
        <v>Nadcházející</v>
      </c>
    </row>
    <row r="16" spans="1:9" ht="27" customHeight="1" x14ac:dyDescent="0.2">
      <c r="A16" s="62">
        <f>IF('Výběr družstva'!A17="","",'Výběr družstva'!A17)</f>
        <v>46403</v>
      </c>
      <c r="B16" s="53" t="str">
        <f>IF('Výběr družstva'!B17="","",'Výběr družstva'!B17)</f>
        <v>So</v>
      </c>
      <c r="C16" s="53" t="str">
        <f>IF('Výběr družstva'!C17="","",'Výběr družstva'!C17)</f>
        <v>žákovská liga</v>
      </c>
      <c r="D16" s="53" t="str">
        <f>IF('Výběr družstva'!D17="","",'Výběr družstva'!D17)</f>
        <v>F1, S1</v>
      </c>
      <c r="E16" s="65" t="str">
        <f>IF('Výběr družstva'!E17="","",'Výběr družstva'!E17)</f>
        <v/>
      </c>
      <c r="F16" s="53" t="str">
        <f>IF('Výběr družstva'!F17="","",'Výběr družstva'!F17)</f>
        <v/>
      </c>
      <c r="G16" s="53" t="str">
        <f>IF('Výběr družstva'!G17="","",'Výběr družstva'!G17)</f>
        <v/>
      </c>
      <c r="H16" s="53" t="str">
        <f>IF('Výběr družstva'!H17="","",'Výběr družstva'!H17)</f>
        <v/>
      </c>
      <c r="I16" s="53" t="str">
        <f ca="1">IF('Výběr družstva'!I17="","",'Výběr družstva'!I17)</f>
        <v>Nadcházející</v>
      </c>
    </row>
    <row r="17" spans="1:9" ht="27" customHeight="1" x14ac:dyDescent="0.2">
      <c r="A17" s="62">
        <f>IF('Výběr družstva'!A18="","",'Výběr družstva'!A18)</f>
        <v>46404</v>
      </c>
      <c r="B17" s="53" t="str">
        <f>IF('Výběr družstva'!B18="","",'Výběr družstva'!B18)</f>
        <v>Ne</v>
      </c>
      <c r="C17" s="53" t="str">
        <f>IF('Výběr družstva'!C18="","",'Výběr družstva'!C18)</f>
        <v>žákovská liga</v>
      </c>
      <c r="D17" s="53" t="str">
        <f>IF('Výběr družstva'!D18="","",'Výběr družstva'!D18)</f>
        <v>F1, S1</v>
      </c>
      <c r="E17" s="65" t="str">
        <f>IF('Výběr družstva'!E18="","",'Výběr družstva'!E18)</f>
        <v/>
      </c>
      <c r="F17" s="53" t="str">
        <f>IF('Výběr družstva'!F18="","",'Výběr družstva'!F18)</f>
        <v/>
      </c>
      <c r="G17" s="53" t="str">
        <f>IF('Výběr družstva'!G18="","",'Výběr družstva'!G18)</f>
        <v/>
      </c>
      <c r="H17" s="53" t="str">
        <f>IF('Výběr družstva'!H18="","",'Výběr družstva'!H18)</f>
        <v/>
      </c>
      <c r="I17" s="53" t="str">
        <f ca="1">IF('Výběr družstva'!I18="","",'Výběr družstva'!I18)</f>
        <v>Nadcházející</v>
      </c>
    </row>
    <row r="18" spans="1:9" ht="27" customHeight="1" x14ac:dyDescent="0.2">
      <c r="A18" s="62">
        <f>IF('Výběr družstva'!A19="","",'Výběr družstva'!A19)</f>
        <v>46407</v>
      </c>
      <c r="B18" s="53" t="str">
        <f>IF('Výběr družstva'!B19="","",'Výběr družstva'!B19)</f>
        <v>St</v>
      </c>
      <c r="C18" s="53" t="str">
        <f>IF('Výběr družstva'!C19="","",'Výběr družstva'!C19)</f>
        <v>žákovská liga</v>
      </c>
      <c r="D18" s="53" t="str">
        <f>IF('Výběr družstva'!D19="","",'Výběr družstva'!D19)</f>
        <v>FD, SD</v>
      </c>
      <c r="E18" s="65" t="str">
        <f>IF('Výběr družstva'!E19="","",'Výběr družstva'!E19)</f>
        <v/>
      </c>
      <c r="F18" s="53" t="str">
        <f>IF('Výběr družstva'!F19="","",'Výběr družstva'!F19)</f>
        <v/>
      </c>
      <c r="G18" s="53" t="str">
        <f>IF('Výběr družstva'!G19="","",'Výběr družstva'!G19)</f>
        <v/>
      </c>
      <c r="H18" s="53" t="str">
        <f>IF('Výběr družstva'!H19="","",'Výběr družstva'!H19)</f>
        <v/>
      </c>
      <c r="I18" s="53" t="str">
        <f ca="1">IF('Výběr družstva'!I19="","",'Výběr družstva'!I19)</f>
        <v>Nadcházející</v>
      </c>
    </row>
    <row r="19" spans="1:9" ht="27" customHeight="1" x14ac:dyDescent="0.2">
      <c r="A19" s="62">
        <f>IF('Výběr družstva'!A20="","",'Výběr družstva'!A20)</f>
        <v>46424</v>
      </c>
      <c r="B19" s="53" t="str">
        <f>IF('Výběr družstva'!B20="","",'Výběr družstva'!B20)</f>
        <v>So</v>
      </c>
      <c r="C19" s="53" t="str">
        <f>IF('Výběr družstva'!C20="","",'Výběr družstva'!C20)</f>
        <v>žákovská liga</v>
      </c>
      <c r="D19" s="53" t="str">
        <f>IF('Výběr družstva'!D20="","",'Výběr družstva'!D20)</f>
        <v>F2, S2</v>
      </c>
      <c r="E19" s="65" t="str">
        <f>IF('Výběr družstva'!E20="","",'Výběr družstva'!E20)</f>
        <v/>
      </c>
      <c r="F19" s="53" t="str">
        <f>IF('Výběr družstva'!F20="","",'Výběr družstva'!F20)</f>
        <v/>
      </c>
      <c r="G19" s="53" t="str">
        <f>IF('Výběr družstva'!G20="","",'Výběr družstva'!G20)</f>
        <v/>
      </c>
      <c r="H19" s="53" t="str">
        <f>IF('Výběr družstva'!H20="","",'Výběr družstva'!H20)</f>
        <v/>
      </c>
      <c r="I19" s="53" t="str">
        <f ca="1">IF('Výběr družstva'!I20="","",'Výběr družstva'!I20)</f>
        <v>Nadcházející</v>
      </c>
    </row>
    <row r="20" spans="1:9" ht="27" customHeight="1" x14ac:dyDescent="0.2">
      <c r="A20" s="62">
        <f>IF('Výběr družstva'!A21="","",'Výběr družstva'!A21)</f>
        <v>46425</v>
      </c>
      <c r="B20" s="53" t="str">
        <f>IF('Výběr družstva'!B21="","",'Výběr družstva'!B21)</f>
        <v>Ne</v>
      </c>
      <c r="C20" s="53" t="str">
        <f>IF('Výběr družstva'!C21="","",'Výběr družstva'!C21)</f>
        <v>žákovská liga</v>
      </c>
      <c r="D20" s="53" t="str">
        <f>IF('Výběr družstva'!D21="","",'Výběr družstva'!D21)</f>
        <v>F2, S2</v>
      </c>
      <c r="E20" s="65" t="str">
        <f>IF('Výběr družstva'!E21="","",'Výběr družstva'!E21)</f>
        <v/>
      </c>
      <c r="F20" s="53" t="str">
        <f>IF('Výběr družstva'!F21="","",'Výběr družstva'!F21)</f>
        <v/>
      </c>
      <c r="G20" s="53" t="str">
        <f>IF('Výběr družstva'!G21="","",'Výběr družstva'!G21)</f>
        <v/>
      </c>
      <c r="H20" s="53" t="str">
        <f>IF('Výběr družstva'!H21="","",'Výběr družstva'!H21)</f>
        <v/>
      </c>
      <c r="I20" s="53" t="str">
        <f ca="1">IF('Výběr družstva'!I21="","",'Výběr družstva'!I21)</f>
        <v>Nadcházející</v>
      </c>
    </row>
    <row r="21" spans="1:9" ht="27" customHeight="1" x14ac:dyDescent="0.2">
      <c r="A21" s="62">
        <f>IF('Výběr družstva'!A22="","",'Výběr družstva'!A22)</f>
        <v>46438</v>
      </c>
      <c r="B21" s="53" t="str">
        <f>IF('Výběr družstva'!B22="","",'Výběr družstva'!B22)</f>
        <v>So</v>
      </c>
      <c r="C21" s="53" t="str">
        <f>IF('Výběr družstva'!C22="","",'Výběr družstva'!C22)</f>
        <v>žákovská liga</v>
      </c>
      <c r="D21" s="53" t="str">
        <f>IF('Výběr družstva'!D22="","",'Výběr družstva'!D22)</f>
        <v>F3, S3</v>
      </c>
      <c r="E21" s="65" t="str">
        <f>IF('Výběr družstva'!E22="","",'Výběr družstva'!E22)</f>
        <v/>
      </c>
      <c r="F21" s="53" t="str">
        <f>IF('Výběr družstva'!F22="","",'Výběr družstva'!F22)</f>
        <v/>
      </c>
      <c r="G21" s="53" t="str">
        <f>IF('Výběr družstva'!G22="","",'Výběr družstva'!G22)</f>
        <v/>
      </c>
      <c r="H21" s="53" t="str">
        <f>IF('Výběr družstva'!H22="","",'Výběr družstva'!H22)</f>
        <v/>
      </c>
      <c r="I21" s="53" t="str">
        <f ca="1">IF('Výběr družstva'!I22="","",'Výběr družstva'!I22)</f>
        <v>Nadcházející</v>
      </c>
    </row>
    <row r="22" spans="1:9" ht="27" customHeight="1" x14ac:dyDescent="0.2">
      <c r="A22" s="62">
        <f>IF('Výběr družstva'!A23="","",'Výběr družstva'!A23)</f>
        <v>46439</v>
      </c>
      <c r="B22" s="53" t="str">
        <f>IF('Výběr družstva'!B23="","",'Výběr družstva'!B23)</f>
        <v>Ne</v>
      </c>
      <c r="C22" s="53" t="str">
        <f>IF('Výběr družstva'!C23="","",'Výběr družstva'!C23)</f>
        <v>žákovská liga</v>
      </c>
      <c r="D22" s="53" t="str">
        <f>IF('Výběr družstva'!D23="","",'Výběr družstva'!D23)</f>
        <v>F3, S3</v>
      </c>
      <c r="E22" s="65" t="str">
        <f>IF('Výběr družstva'!E23="","",'Výběr družstva'!E23)</f>
        <v/>
      </c>
      <c r="F22" s="53" t="str">
        <f>IF('Výběr družstva'!F23="","",'Výběr družstva'!F23)</f>
        <v/>
      </c>
      <c r="G22" s="53" t="str">
        <f>IF('Výběr družstva'!G23="","",'Výběr družstva'!G23)</f>
        <v/>
      </c>
      <c r="H22" s="53" t="str">
        <f>IF('Výběr družstva'!H23="","",'Výběr družstva'!H23)</f>
        <v/>
      </c>
      <c r="I22" s="53" t="str">
        <f ca="1">IF('Výběr družstva'!I23="","",'Výběr družstva'!I23)</f>
        <v>Nadcházející</v>
      </c>
    </row>
    <row r="23" spans="1:9" ht="27" customHeight="1" x14ac:dyDescent="0.2">
      <c r="A23" s="62">
        <f>IF('Výběr družstva'!A24="","",'Výběr družstva'!A24)</f>
        <v>46459</v>
      </c>
      <c r="B23" s="53" t="str">
        <f>IF('Výběr družstva'!B24="","",'Výběr družstva'!B24)</f>
        <v>So</v>
      </c>
      <c r="C23" s="53" t="str">
        <f>IF('Výběr družstva'!C24="","",'Výběr družstva'!C24)</f>
        <v>žákovská liga</v>
      </c>
      <c r="D23" s="53" t="str">
        <f>IF('Výběr družstva'!D24="","",'Výběr družstva'!D24)</f>
        <v>F1´, S1´</v>
      </c>
      <c r="E23" s="65" t="str">
        <f>IF('Výběr družstva'!E24="","",'Výběr družstva'!E24)</f>
        <v/>
      </c>
      <c r="F23" s="53" t="str">
        <f>IF('Výběr družstva'!F24="","",'Výběr družstva'!F24)</f>
        <v/>
      </c>
      <c r="G23" s="53" t="str">
        <f>IF('Výběr družstva'!G24="","",'Výběr družstva'!G24)</f>
        <v/>
      </c>
      <c r="H23" s="53" t="str">
        <f>IF('Výběr družstva'!H24="","",'Výběr družstva'!H24)</f>
        <v/>
      </c>
      <c r="I23" s="53" t="str">
        <f ca="1">IF('Výběr družstva'!I24="","",'Výběr družstva'!I24)</f>
        <v>Nadcházející</v>
      </c>
    </row>
    <row r="24" spans="1:9" ht="27" customHeight="1" x14ac:dyDescent="0.2">
      <c r="A24" s="62">
        <f>IF('Výběr družstva'!A25="","",'Výběr družstva'!A25)</f>
        <v>46460</v>
      </c>
      <c r="B24" s="53" t="str">
        <f>IF('Výběr družstva'!B25="","",'Výběr družstva'!B25)</f>
        <v>Ne</v>
      </c>
      <c r="C24" s="53" t="str">
        <f>IF('Výběr družstva'!C25="","",'Výběr družstva'!C25)</f>
        <v>žákovská liga</v>
      </c>
      <c r="D24" s="53" t="str">
        <f>IF('Výběr družstva'!D25="","",'Výběr družstva'!D25)</f>
        <v>F1´, S1</v>
      </c>
      <c r="E24" s="65" t="str">
        <f>IF('Výběr družstva'!E25="","",'Výběr družstva'!E25)</f>
        <v/>
      </c>
      <c r="F24" s="53" t="str">
        <f>IF('Výběr družstva'!F25="","",'Výběr družstva'!F25)</f>
        <v/>
      </c>
      <c r="G24" s="53" t="str">
        <f>IF('Výběr družstva'!G25="","",'Výběr družstva'!G25)</f>
        <v/>
      </c>
      <c r="H24" s="53" t="str">
        <f>IF('Výběr družstva'!H25="","",'Výběr družstva'!H25)</f>
        <v/>
      </c>
      <c r="I24" s="53" t="str">
        <f ca="1">IF('Výběr družstva'!I25="","",'Výběr družstva'!I25)</f>
        <v>Nadcházející</v>
      </c>
    </row>
    <row r="25" spans="1:9" ht="27" customHeight="1" x14ac:dyDescent="0.2">
      <c r="A25" s="62">
        <f>IF('Výběr družstva'!A26="","",'Výběr družstva'!A26)</f>
        <v>46463</v>
      </c>
      <c r="B25" s="53" t="str">
        <f>IF('Výběr družstva'!B26="","",'Výběr družstva'!B26)</f>
        <v>St</v>
      </c>
      <c r="C25" s="53" t="str">
        <f>IF('Výběr družstva'!C26="","",'Výběr družstva'!C26)</f>
        <v>žákovská liga</v>
      </c>
      <c r="D25" s="53" t="str">
        <f>IF('Výběr družstva'!D26="","",'Výběr družstva'!D26)</f>
        <v>FD´, SD´</v>
      </c>
      <c r="E25" s="65" t="str">
        <f>IF('Výběr družstva'!E26="","",'Výběr družstva'!E26)</f>
        <v/>
      </c>
      <c r="F25" s="53" t="str">
        <f>IF('Výběr družstva'!F26="","",'Výběr družstva'!F26)</f>
        <v/>
      </c>
      <c r="G25" s="53" t="str">
        <f>IF('Výběr družstva'!G26="","",'Výběr družstva'!G26)</f>
        <v/>
      </c>
      <c r="H25" s="53" t="str">
        <f>IF('Výběr družstva'!H26="","",'Výběr družstva'!H26)</f>
        <v/>
      </c>
      <c r="I25" s="53" t="str">
        <f ca="1">IF('Výběr družstva'!I26="","",'Výběr družstva'!I26)</f>
        <v>Nadcházející</v>
      </c>
    </row>
    <row r="26" spans="1:9" ht="27" customHeight="1" x14ac:dyDescent="0.2">
      <c r="A26" s="62">
        <f>IF('Výběr družstva'!A27="","",'Výběr družstva'!A27)</f>
        <v>46480</v>
      </c>
      <c r="B26" s="53" t="str">
        <f>IF('Výběr družstva'!B27="","",'Výběr družstva'!B27)</f>
        <v>So</v>
      </c>
      <c r="C26" s="53" t="str">
        <f>IF('Výběr družstva'!C27="","",'Výběr družstva'!C27)</f>
        <v>žákovská liga</v>
      </c>
      <c r="D26" s="53" t="str">
        <f>IF('Výběr družstva'!D27="","",'Výběr družstva'!D27)</f>
        <v>F2´, S2´</v>
      </c>
      <c r="E26" s="65" t="str">
        <f>IF('Výběr družstva'!E27="","",'Výběr družstva'!E27)</f>
        <v/>
      </c>
      <c r="F26" s="53" t="str">
        <f>IF('Výběr družstva'!F27="","",'Výběr družstva'!F27)</f>
        <v/>
      </c>
      <c r="G26" s="53" t="str">
        <f>IF('Výběr družstva'!G27="","",'Výběr družstva'!G27)</f>
        <v/>
      </c>
      <c r="H26" s="53" t="str">
        <f>IF('Výběr družstva'!H27="","",'Výběr družstva'!H27)</f>
        <v/>
      </c>
      <c r="I26" s="53" t="str">
        <f ca="1">IF('Výběr družstva'!I27="","",'Výběr družstva'!I27)</f>
        <v>Nadcházející</v>
      </c>
    </row>
    <row r="27" spans="1:9" ht="27" customHeight="1" x14ac:dyDescent="0.2">
      <c r="A27" s="62">
        <f>IF('Výběr družstva'!A28="","",'Výběr družstva'!A28)</f>
        <v>46481</v>
      </c>
      <c r="B27" s="53" t="str">
        <f>IF('Výběr družstva'!B28="","",'Výběr družstva'!B28)</f>
        <v>Ne</v>
      </c>
      <c r="C27" s="53" t="str">
        <f>IF('Výběr družstva'!C28="","",'Výběr družstva'!C28)</f>
        <v>žákovská liga</v>
      </c>
      <c r="D27" s="53" t="str">
        <f>IF('Výběr družstva'!D28="","",'Výběr družstva'!D28)</f>
        <v>F2´, S2´</v>
      </c>
      <c r="E27" s="65" t="str">
        <f>IF('Výběr družstva'!E28="","",'Výběr družstva'!E28)</f>
        <v/>
      </c>
      <c r="F27" s="53" t="str">
        <f>IF('Výběr družstva'!F28="","",'Výběr družstva'!F28)</f>
        <v/>
      </c>
      <c r="G27" s="53" t="str">
        <f>IF('Výběr družstva'!G28="","",'Výběr družstva'!G28)</f>
        <v/>
      </c>
      <c r="H27" s="53" t="str">
        <f>IF('Výběr družstva'!H28="","",'Výběr družstva'!H28)</f>
        <v/>
      </c>
      <c r="I27" s="53" t="str">
        <f ca="1">IF('Výběr družstva'!I28="","",'Výběr družstva'!I28)</f>
        <v>Nadcházející</v>
      </c>
    </row>
    <row r="28" spans="1:9" ht="27" customHeight="1" x14ac:dyDescent="0.2">
      <c r="A28" s="62">
        <f>IF('Výběr družstva'!A29="","",'Výběr družstva'!A29)</f>
        <v>46494</v>
      </c>
      <c r="B28" s="53" t="str">
        <f>IF('Výběr družstva'!B29="","",'Výběr družstva'!B29)</f>
        <v>So</v>
      </c>
      <c r="C28" s="53" t="str">
        <f>IF('Výběr družstva'!C29="","",'Výběr družstva'!C29)</f>
        <v>žákovská liga</v>
      </c>
      <c r="D28" s="53" t="str">
        <f>IF('Výběr družstva'!D29="","",'Výběr družstva'!D29)</f>
        <v>F3´, S3´</v>
      </c>
      <c r="E28" s="65" t="str">
        <f>IF('Výběr družstva'!E29="","",'Výběr družstva'!E29)</f>
        <v/>
      </c>
      <c r="F28" s="53" t="str">
        <f>IF('Výběr družstva'!F29="","",'Výběr družstva'!F29)</f>
        <v/>
      </c>
      <c r="G28" s="53" t="str">
        <f>IF('Výběr družstva'!G29="","",'Výběr družstva'!G29)</f>
        <v/>
      </c>
      <c r="H28" s="53" t="str">
        <f>IF('Výběr družstva'!H29="","",'Výběr družstva'!H29)</f>
        <v/>
      </c>
      <c r="I28" s="53" t="str">
        <f ca="1">IF('Výběr družstva'!I29="","",'Výběr družstva'!I29)</f>
        <v>Nadcházející</v>
      </c>
    </row>
    <row r="29" spans="1:9" ht="27" customHeight="1" x14ac:dyDescent="0.2">
      <c r="A29" s="62">
        <f>IF('Výběr družstva'!A30="","",'Výběr družstva'!A30)</f>
        <v>46495</v>
      </c>
      <c r="B29" s="53" t="str">
        <f>IF('Výběr družstva'!B30="","",'Výběr družstva'!B30)</f>
        <v>Ne</v>
      </c>
      <c r="C29" s="53" t="str">
        <f>IF('Výběr družstva'!C30="","",'Výběr družstva'!C30)</f>
        <v>žákovská liga</v>
      </c>
      <c r="D29" s="53" t="str">
        <f>IF('Výběr družstva'!D30="","",'Výběr družstva'!D30)</f>
        <v>F3´, S3´</v>
      </c>
      <c r="E29" s="65" t="str">
        <f>IF('Výběr družstva'!E30="","",'Výběr družstva'!E30)</f>
        <v/>
      </c>
      <c r="F29" s="53" t="str">
        <f>IF('Výběr družstva'!F30="","",'Výběr družstva'!F30)</f>
        <v/>
      </c>
      <c r="G29" s="53" t="str">
        <f>IF('Výběr družstva'!G30="","",'Výběr družstva'!G30)</f>
        <v/>
      </c>
      <c r="H29" s="53" t="str">
        <f>IF('Výběr družstva'!H30="","",'Výběr družstva'!H30)</f>
        <v/>
      </c>
      <c r="I29" s="53" t="str">
        <f ca="1">IF('Výběr družstva'!I30="","",'Výběr družstva'!I30)</f>
        <v>Nadcházející</v>
      </c>
    </row>
    <row r="30" spans="1:9" ht="27" customHeight="1" x14ac:dyDescent="0.2">
      <c r="A30" s="62" t="str">
        <f>IF('Výběr družstva'!A31="","",'Výběr družstva'!A31)</f>
        <v/>
      </c>
      <c r="B30" s="53" t="str">
        <f>IF('Výběr družstva'!B31="","",'Výběr družstva'!B31)</f>
        <v/>
      </c>
      <c r="C30" s="53" t="str">
        <f>IF('Výběr družstva'!C31="","",'Výběr družstva'!C31)</f>
        <v/>
      </c>
      <c r="D30" s="53" t="str">
        <f>IF('Výběr družstva'!D31="","",'Výběr družstva'!D31)</f>
        <v/>
      </c>
      <c r="E30" s="65" t="str">
        <f>IF('Výběr družstva'!E31="","",'Výběr družstva'!E31)</f>
        <v/>
      </c>
      <c r="F30" s="53" t="str">
        <f>IF('Výběr družstva'!F31="","",'Výběr družstva'!F31)</f>
        <v/>
      </c>
      <c r="G30" s="53" t="str">
        <f>IF('Výběr družstva'!G31="","",'Výběr družstva'!G31)</f>
        <v/>
      </c>
      <c r="H30" s="53" t="str">
        <f>IF('Výběr družstva'!H31="","",'Výběr družstva'!H31)</f>
        <v/>
      </c>
      <c r="I30" s="53" t="str">
        <f>IF('Výběr družstva'!I31="","",'Výběr družstva'!I31)</f>
        <v/>
      </c>
    </row>
    <row r="31" spans="1:9" ht="27" customHeight="1" x14ac:dyDescent="0.2">
      <c r="A31" s="62" t="str">
        <f>IF('Výběr družstva'!A32="","",'Výběr družstva'!A32)</f>
        <v/>
      </c>
      <c r="B31" s="53" t="str">
        <f>IF('Výběr družstva'!B32="","",'Výběr družstva'!B32)</f>
        <v/>
      </c>
      <c r="C31" s="53" t="str">
        <f>IF('Výběr družstva'!C32="","",'Výběr družstva'!C32)</f>
        <v/>
      </c>
      <c r="D31" s="53" t="str">
        <f>IF('Výběr družstva'!D32="","",'Výběr družstva'!D32)</f>
        <v/>
      </c>
      <c r="E31" s="65" t="str">
        <f>IF('Výběr družstva'!E32="","",'Výběr družstva'!E32)</f>
        <v/>
      </c>
      <c r="F31" s="53" t="str">
        <f>IF('Výběr družstva'!F32="","",'Výběr družstva'!F32)</f>
        <v/>
      </c>
      <c r="G31" s="53" t="str">
        <f>IF('Výběr družstva'!G32="","",'Výběr družstva'!G32)</f>
        <v/>
      </c>
      <c r="H31" s="53" t="str">
        <f>IF('Výběr družstva'!H32="","",'Výběr družstva'!H32)</f>
        <v/>
      </c>
      <c r="I31" s="53" t="str">
        <f>IF('Výběr družstva'!I32="","",'Výběr družstva'!I32)</f>
        <v/>
      </c>
    </row>
    <row r="32" spans="1:9" ht="27" customHeight="1" x14ac:dyDescent="0.2">
      <c r="A32" s="62" t="str">
        <f>IF('Výběr družstva'!A33="","",'Výběr družstva'!A33)</f>
        <v/>
      </c>
      <c r="B32" s="53" t="str">
        <f>IF('Výběr družstva'!B33="","",'Výběr družstva'!B33)</f>
        <v/>
      </c>
      <c r="C32" s="53" t="str">
        <f>IF('Výběr družstva'!C33="","",'Výběr družstva'!C33)</f>
        <v/>
      </c>
      <c r="D32" s="53" t="str">
        <f>IF('Výběr družstva'!D33="","",'Výběr družstva'!D33)</f>
        <v/>
      </c>
      <c r="E32" s="65" t="str">
        <f>IF('Výběr družstva'!E33="","",'Výběr družstva'!E33)</f>
        <v/>
      </c>
      <c r="F32" s="53" t="str">
        <f>IF('Výběr družstva'!F33="","",'Výběr družstva'!F33)</f>
        <v/>
      </c>
      <c r="G32" s="53" t="str">
        <f>IF('Výběr družstva'!G33="","",'Výběr družstva'!G33)</f>
        <v/>
      </c>
      <c r="H32" s="53" t="str">
        <f>IF('Výběr družstva'!H33="","",'Výběr družstva'!H33)</f>
        <v/>
      </c>
      <c r="I32" s="53" t="str">
        <f>IF('Výběr družstva'!I33="","",'Výběr družstva'!I33)</f>
        <v/>
      </c>
    </row>
    <row r="33" spans="1:9" ht="27" customHeight="1" x14ac:dyDescent="0.2">
      <c r="A33" s="62" t="str">
        <f>IF('Výběr družstva'!A34="","",'Výběr družstva'!A34)</f>
        <v/>
      </c>
      <c r="B33" s="53" t="str">
        <f>IF('Výběr družstva'!B34="","",'Výběr družstva'!B34)</f>
        <v/>
      </c>
      <c r="C33" s="53" t="str">
        <f>IF('Výběr družstva'!C34="","",'Výběr družstva'!C34)</f>
        <v/>
      </c>
      <c r="D33" s="53" t="str">
        <f>IF('Výběr družstva'!D34="","",'Výběr družstva'!D34)</f>
        <v/>
      </c>
      <c r="E33" s="65" t="str">
        <f>IF('Výběr družstva'!E34="","",'Výběr družstva'!E34)</f>
        <v/>
      </c>
      <c r="F33" s="53" t="str">
        <f>IF('Výběr družstva'!F34="","",'Výběr družstva'!F34)</f>
        <v/>
      </c>
      <c r="G33" s="53" t="str">
        <f>IF('Výběr družstva'!G34="","",'Výběr družstva'!G34)</f>
        <v/>
      </c>
      <c r="H33" s="53" t="str">
        <f>IF('Výběr družstva'!H34="","",'Výběr družstva'!H34)</f>
        <v/>
      </c>
      <c r="I33" s="53" t="str">
        <f>IF('Výběr družstva'!I34="","",'Výběr družstva'!I34)</f>
        <v/>
      </c>
    </row>
    <row r="34" spans="1:9" ht="27" customHeight="1" x14ac:dyDescent="0.2">
      <c r="A34" s="62" t="str">
        <f>IF('Výběr družstva'!A35="","",'Výběr družstva'!A35)</f>
        <v/>
      </c>
      <c r="B34" s="53" t="str">
        <f>IF('Výběr družstva'!B35="","",'Výběr družstva'!B35)</f>
        <v/>
      </c>
      <c r="C34" s="53" t="str">
        <f>IF('Výběr družstva'!C35="","",'Výběr družstva'!C35)</f>
        <v/>
      </c>
      <c r="D34" s="53" t="str">
        <f>IF('Výběr družstva'!D35="","",'Výběr družstva'!D35)</f>
        <v/>
      </c>
      <c r="E34" s="65" t="str">
        <f>IF('Výběr družstva'!E35="","",'Výběr družstva'!E35)</f>
        <v/>
      </c>
      <c r="F34" s="53" t="str">
        <f>IF('Výběr družstva'!F35="","",'Výběr družstva'!F35)</f>
        <v/>
      </c>
      <c r="G34" s="53" t="str">
        <f>IF('Výběr družstva'!G35="","",'Výběr družstva'!G35)</f>
        <v/>
      </c>
      <c r="H34" s="53" t="str">
        <f>IF('Výběr družstva'!H35="","",'Výběr družstva'!H35)</f>
        <v/>
      </c>
      <c r="I34" s="53" t="str">
        <f>IF('Výběr družstva'!I35="","",'Výběr družstva'!I35)</f>
        <v/>
      </c>
    </row>
    <row r="35" spans="1:9" ht="27" customHeight="1" x14ac:dyDescent="0.2">
      <c r="A35" s="62" t="str">
        <f>IF('Výběr družstva'!A36="","",'Výběr družstva'!A36)</f>
        <v/>
      </c>
      <c r="B35" s="53" t="str">
        <f>IF('Výběr družstva'!B36="","",'Výběr družstva'!B36)</f>
        <v/>
      </c>
      <c r="C35" s="53" t="str">
        <f>IF('Výběr družstva'!C36="","",'Výběr družstva'!C36)</f>
        <v/>
      </c>
      <c r="D35" s="53" t="str">
        <f>IF('Výběr družstva'!D36="","",'Výběr družstva'!D36)</f>
        <v/>
      </c>
      <c r="E35" s="65" t="str">
        <f>IF('Výběr družstva'!E36="","",'Výběr družstva'!E36)</f>
        <v/>
      </c>
      <c r="F35" s="53" t="str">
        <f>IF('Výběr družstva'!F36="","",'Výběr družstva'!F36)</f>
        <v/>
      </c>
      <c r="G35" s="53" t="str">
        <f>IF('Výběr družstva'!G36="","",'Výběr družstva'!G36)</f>
        <v/>
      </c>
      <c r="H35" s="53" t="str">
        <f>IF('Výběr družstva'!H36="","",'Výběr družstva'!H36)</f>
        <v/>
      </c>
      <c r="I35" s="53" t="str">
        <f>IF('Výběr družstva'!I36="","",'Výběr družstva'!I36)</f>
        <v/>
      </c>
    </row>
    <row r="36" spans="1:9" ht="27" customHeight="1" x14ac:dyDescent="0.2">
      <c r="A36" s="62" t="str">
        <f>IF('Výběr družstva'!A37="","",'Výběr družstva'!A37)</f>
        <v/>
      </c>
      <c r="B36" s="53" t="str">
        <f>IF('Výběr družstva'!B37="","",'Výběr družstva'!B37)</f>
        <v/>
      </c>
      <c r="C36" s="53" t="str">
        <f>IF('Výběr družstva'!C37="","",'Výběr družstva'!C37)</f>
        <v/>
      </c>
      <c r="D36" s="53" t="str">
        <f>IF('Výběr družstva'!D37="","",'Výběr družstva'!D37)</f>
        <v/>
      </c>
      <c r="E36" s="65" t="str">
        <f>IF('Výběr družstva'!E37="","",'Výběr družstva'!E37)</f>
        <v/>
      </c>
      <c r="F36" s="53" t="str">
        <f>IF('Výběr družstva'!F37="","",'Výběr družstva'!F37)</f>
        <v/>
      </c>
      <c r="G36" s="53" t="str">
        <f>IF('Výběr družstva'!G37="","",'Výběr družstva'!G37)</f>
        <v/>
      </c>
      <c r="H36" s="53" t="str">
        <f>IF('Výběr družstva'!H37="","",'Výběr družstva'!H37)</f>
        <v/>
      </c>
      <c r="I36" s="53" t="str">
        <f>IF('Výběr družstva'!I37="","",'Výběr družstva'!I37)</f>
        <v/>
      </c>
    </row>
    <row r="37" spans="1:9" ht="27" customHeight="1" x14ac:dyDescent="0.2">
      <c r="A37" s="62" t="str">
        <f>IF('Výběr družstva'!A38="","",'Výběr družstva'!A38)</f>
        <v/>
      </c>
      <c r="B37" s="53" t="str">
        <f>IF('Výběr družstva'!B38="","",'Výběr družstva'!B38)</f>
        <v/>
      </c>
      <c r="C37" s="53" t="str">
        <f>IF('Výběr družstva'!C38="","",'Výběr družstva'!C38)</f>
        <v/>
      </c>
      <c r="D37" s="53" t="str">
        <f>IF('Výběr družstva'!D38="","",'Výběr družstva'!D38)</f>
        <v/>
      </c>
      <c r="E37" s="65" t="str">
        <f>IF('Výběr družstva'!E38="","",'Výběr družstva'!E38)</f>
        <v/>
      </c>
      <c r="F37" s="53" t="str">
        <f>IF('Výběr družstva'!F38="","",'Výběr družstva'!F38)</f>
        <v/>
      </c>
      <c r="G37" s="53" t="str">
        <f>IF('Výběr družstva'!G38="","",'Výběr družstva'!G38)</f>
        <v/>
      </c>
      <c r="H37" s="53" t="str">
        <f>IF('Výběr družstva'!H38="","",'Výběr družstva'!H38)</f>
        <v/>
      </c>
      <c r="I37" s="53" t="str">
        <f>IF('Výběr družstva'!I38="","",'Výběr družstva'!I38)</f>
        <v/>
      </c>
    </row>
    <row r="38" spans="1:9" ht="27" customHeight="1" x14ac:dyDescent="0.2">
      <c r="A38" s="62" t="str">
        <f>IF('Výběr družstva'!A39="","",'Výběr družstva'!A39)</f>
        <v/>
      </c>
      <c r="B38" s="53" t="str">
        <f>IF('Výběr družstva'!B39="","",'Výběr družstva'!B39)</f>
        <v/>
      </c>
      <c r="C38" s="53" t="str">
        <f>IF('Výběr družstva'!C39="","",'Výběr družstva'!C39)</f>
        <v/>
      </c>
      <c r="D38" s="53" t="str">
        <f>IF('Výběr družstva'!D39="","",'Výběr družstva'!D39)</f>
        <v/>
      </c>
      <c r="E38" s="65" t="str">
        <f>IF('Výběr družstva'!E39="","",'Výběr družstva'!E39)</f>
        <v/>
      </c>
      <c r="F38" s="53" t="str">
        <f>IF('Výběr družstva'!F39="","",'Výběr družstva'!F39)</f>
        <v/>
      </c>
      <c r="G38" s="53" t="str">
        <f>IF('Výběr družstva'!G39="","",'Výběr družstva'!G39)</f>
        <v/>
      </c>
      <c r="H38" s="53" t="str">
        <f>IF('Výběr družstva'!H39="","",'Výběr družstva'!H39)</f>
        <v/>
      </c>
      <c r="I38" s="53" t="str">
        <f>IF('Výběr družstva'!I39="","",'Výběr družstva'!I39)</f>
        <v/>
      </c>
    </row>
    <row r="39" spans="1:9" ht="27" customHeight="1" x14ac:dyDescent="0.2">
      <c r="A39" s="62" t="str">
        <f>IF('Výběr družstva'!A40="","",'Výběr družstva'!A40)</f>
        <v/>
      </c>
      <c r="B39" s="53" t="str">
        <f>IF('Výběr družstva'!B40="","",'Výběr družstva'!B40)</f>
        <v/>
      </c>
      <c r="C39" s="53" t="str">
        <f>IF('Výběr družstva'!C40="","",'Výběr družstva'!C40)</f>
        <v/>
      </c>
      <c r="D39" s="53" t="str">
        <f>IF('Výběr družstva'!D40="","",'Výběr družstva'!D40)</f>
        <v/>
      </c>
      <c r="E39" s="65" t="str">
        <f>IF('Výběr družstva'!E40="","",'Výběr družstva'!E40)</f>
        <v/>
      </c>
      <c r="F39" s="53" t="str">
        <f>IF('Výběr družstva'!F40="","",'Výběr družstva'!F40)</f>
        <v/>
      </c>
      <c r="G39" s="53" t="str">
        <f>IF('Výběr družstva'!G40="","",'Výběr družstva'!G40)</f>
        <v/>
      </c>
      <c r="H39" s="53" t="str">
        <f>IF('Výběr družstva'!H40="","",'Výběr družstva'!H40)</f>
        <v/>
      </c>
      <c r="I39" s="53" t="str">
        <f>IF('Výběr družstva'!I40="","",'Výběr družstva'!I40)</f>
        <v/>
      </c>
    </row>
    <row r="40" spans="1:9" ht="27" customHeight="1" x14ac:dyDescent="0.2">
      <c r="A40" s="62" t="str">
        <f>IF('Výběr družstva'!A41="","",'Výběr družstva'!A41)</f>
        <v/>
      </c>
      <c r="B40" s="53" t="str">
        <f>IF('Výběr družstva'!B41="","",'Výběr družstva'!B41)</f>
        <v/>
      </c>
      <c r="C40" s="53" t="str">
        <f>IF('Výběr družstva'!C41="","",'Výběr družstva'!C41)</f>
        <v/>
      </c>
      <c r="D40" s="53" t="str">
        <f>IF('Výběr družstva'!D41="","",'Výběr družstva'!D41)</f>
        <v/>
      </c>
      <c r="E40" s="65" t="str">
        <f>IF('Výběr družstva'!E41="","",'Výběr družstva'!E41)</f>
        <v/>
      </c>
      <c r="F40" s="53" t="str">
        <f>IF('Výběr družstva'!F41="","",'Výběr družstva'!F41)</f>
        <v/>
      </c>
      <c r="G40" s="53" t="str">
        <f>IF('Výběr družstva'!G41="","",'Výběr družstva'!G41)</f>
        <v/>
      </c>
      <c r="H40" s="53" t="str">
        <f>IF('Výběr družstva'!H41="","",'Výběr družstva'!H41)</f>
        <v/>
      </c>
      <c r="I40" s="53" t="str">
        <f>IF('Výběr družstva'!I41="","",'Výběr družstva'!I41)</f>
        <v/>
      </c>
    </row>
    <row r="41" spans="1:9" ht="27" customHeight="1" x14ac:dyDescent="0.2">
      <c r="A41" s="62" t="str">
        <f>IF('Výběr družstva'!A42="","",'Výběr družstva'!A42)</f>
        <v/>
      </c>
      <c r="B41" s="53" t="str">
        <f>IF('Výběr družstva'!B42="","",'Výběr družstva'!B42)</f>
        <v/>
      </c>
      <c r="C41" s="53" t="str">
        <f>IF('Výběr družstva'!C42="","",'Výběr družstva'!C42)</f>
        <v/>
      </c>
      <c r="D41" s="53" t="str">
        <f>IF('Výběr družstva'!D42="","",'Výběr družstva'!D42)</f>
        <v/>
      </c>
      <c r="E41" s="65" t="str">
        <f>IF('Výběr družstva'!E42="","",'Výběr družstva'!E42)</f>
        <v/>
      </c>
      <c r="F41" s="53" t="str">
        <f>IF('Výběr družstva'!F42="","",'Výběr družstva'!F42)</f>
        <v/>
      </c>
      <c r="G41" s="53" t="str">
        <f>IF('Výběr družstva'!G42="","",'Výběr družstva'!G42)</f>
        <v/>
      </c>
      <c r="H41" s="53" t="str">
        <f>IF('Výběr družstva'!H42="","",'Výběr družstva'!H42)</f>
        <v/>
      </c>
      <c r="I41" s="53" t="str">
        <f>IF('Výběr družstva'!I42="","",'Výběr družstva'!I42)</f>
        <v/>
      </c>
    </row>
    <row r="42" spans="1:9" ht="27" customHeight="1" x14ac:dyDescent="0.2">
      <c r="A42" s="62" t="str">
        <f>IF('Výběr družstva'!A43="","",'Výběr družstva'!A43)</f>
        <v/>
      </c>
      <c r="B42" s="53" t="str">
        <f>IF('Výběr družstva'!B43="","",'Výběr družstva'!B43)</f>
        <v/>
      </c>
      <c r="C42" s="53" t="str">
        <f>IF('Výběr družstva'!C43="","",'Výběr družstva'!C43)</f>
        <v/>
      </c>
      <c r="D42" s="53" t="str">
        <f>IF('Výběr družstva'!D43="","",'Výběr družstva'!D43)</f>
        <v/>
      </c>
      <c r="E42" s="65" t="str">
        <f>IF('Výběr družstva'!E43="","",'Výběr družstva'!E43)</f>
        <v/>
      </c>
      <c r="F42" s="53" t="str">
        <f>IF('Výběr družstva'!F43="","",'Výběr družstva'!F43)</f>
        <v/>
      </c>
      <c r="G42" s="53" t="str">
        <f>IF('Výběr družstva'!G43="","",'Výběr družstva'!G43)</f>
        <v/>
      </c>
      <c r="H42" s="53" t="str">
        <f>IF('Výběr družstva'!H43="","",'Výběr družstva'!H43)</f>
        <v/>
      </c>
      <c r="I42" s="53" t="str">
        <f>IF('Výběr družstva'!I43="","",'Výběr družstva'!I43)</f>
        <v/>
      </c>
    </row>
    <row r="43" spans="1:9" ht="27" customHeight="1" x14ac:dyDescent="0.2">
      <c r="A43" s="62" t="str">
        <f>IF('Výběr družstva'!A44="","",'Výběr družstva'!A44)</f>
        <v/>
      </c>
      <c r="B43" s="53" t="str">
        <f>IF('Výběr družstva'!B44="","",'Výběr družstva'!B44)</f>
        <v/>
      </c>
      <c r="C43" s="53" t="str">
        <f>IF('Výběr družstva'!C44="","",'Výběr družstva'!C44)</f>
        <v/>
      </c>
      <c r="D43" s="53" t="str">
        <f>IF('Výběr družstva'!D44="","",'Výběr družstva'!D44)</f>
        <v/>
      </c>
      <c r="E43" s="65" t="str">
        <f>IF('Výběr družstva'!E44="","",'Výběr družstva'!E44)</f>
        <v/>
      </c>
      <c r="F43" s="53" t="str">
        <f>IF('Výběr družstva'!F44="","",'Výběr družstva'!F44)</f>
        <v/>
      </c>
      <c r="G43" s="53" t="str">
        <f>IF('Výběr družstva'!G44="","",'Výběr družstva'!G44)</f>
        <v/>
      </c>
      <c r="H43" s="53" t="str">
        <f>IF('Výběr družstva'!H44="","",'Výběr družstva'!H44)</f>
        <v/>
      </c>
      <c r="I43" s="53" t="str">
        <f>IF('Výběr družstva'!I44="","",'Výběr družstva'!I44)</f>
        <v/>
      </c>
    </row>
    <row r="44" spans="1:9" ht="27" customHeight="1" x14ac:dyDescent="0.2">
      <c r="A44" s="62" t="str">
        <f>IF('Výběr družstva'!A45="","",'Výběr družstva'!A45)</f>
        <v/>
      </c>
      <c r="B44" s="53" t="str">
        <f>IF('Výběr družstva'!B45="","",'Výběr družstva'!B45)</f>
        <v/>
      </c>
      <c r="C44" s="53" t="str">
        <f>IF('Výběr družstva'!C45="","",'Výběr družstva'!C45)</f>
        <v/>
      </c>
      <c r="D44" s="53" t="str">
        <f>IF('Výběr družstva'!D45="","",'Výběr družstva'!D45)</f>
        <v/>
      </c>
      <c r="E44" s="65" t="str">
        <f>IF('Výběr družstva'!E45="","",'Výběr družstva'!E45)</f>
        <v/>
      </c>
      <c r="F44" s="53" t="str">
        <f>IF('Výběr družstva'!F45="","",'Výběr družstva'!F45)</f>
        <v/>
      </c>
      <c r="G44" s="53" t="str">
        <f>IF('Výběr družstva'!G45="","",'Výběr družstva'!G45)</f>
        <v/>
      </c>
      <c r="H44" s="53" t="str">
        <f>IF('Výběr družstva'!H45="","",'Výběr družstva'!H45)</f>
        <v/>
      </c>
      <c r="I44" s="53" t="str">
        <f>IF('Výběr družstva'!I45="","",'Výběr družstva'!I45)</f>
        <v/>
      </c>
    </row>
    <row r="45" spans="1:9" ht="27" customHeight="1" x14ac:dyDescent="0.2">
      <c r="A45" s="62" t="str">
        <f>IF('Výběr družstva'!A46="","",'Výběr družstva'!A46)</f>
        <v/>
      </c>
      <c r="B45" s="53" t="str">
        <f>IF('Výběr družstva'!B46="","",'Výběr družstva'!B46)</f>
        <v/>
      </c>
      <c r="C45" s="53" t="str">
        <f>IF('Výběr družstva'!C46="","",'Výběr družstva'!C46)</f>
        <v/>
      </c>
      <c r="D45" s="53" t="str">
        <f>IF('Výběr družstva'!D46="","",'Výběr družstva'!D46)</f>
        <v/>
      </c>
      <c r="E45" s="65" t="str">
        <f>IF('Výběr družstva'!E46="","",'Výběr družstva'!E46)</f>
        <v/>
      </c>
      <c r="F45" s="53" t="str">
        <f>IF('Výběr družstva'!F46="","",'Výběr družstva'!F46)</f>
        <v/>
      </c>
      <c r="G45" s="53" t="str">
        <f>IF('Výběr družstva'!G46="","",'Výběr družstva'!G46)</f>
        <v/>
      </c>
      <c r="H45" s="53" t="str">
        <f>IF('Výběr družstva'!H46="","",'Výběr družstva'!H46)</f>
        <v/>
      </c>
      <c r="I45" s="53" t="str">
        <f>IF('Výběr družstva'!I46="","",'Výběr družstva'!I46)</f>
        <v/>
      </c>
    </row>
    <row r="46" spans="1:9" ht="27" customHeight="1" x14ac:dyDescent="0.2">
      <c r="A46" s="62" t="str">
        <f>IF('Výběr družstva'!A47="","",'Výběr družstva'!A47)</f>
        <v/>
      </c>
      <c r="B46" s="53" t="str">
        <f>IF('Výběr družstva'!B47="","",'Výběr družstva'!B47)</f>
        <v/>
      </c>
      <c r="C46" s="53" t="str">
        <f>IF('Výběr družstva'!C47="","",'Výběr družstva'!C47)</f>
        <v/>
      </c>
      <c r="D46" s="53" t="str">
        <f>IF('Výběr družstva'!D47="","",'Výběr družstva'!D47)</f>
        <v/>
      </c>
      <c r="E46" s="65" t="str">
        <f>IF('Výběr družstva'!E47="","",'Výběr družstva'!E47)</f>
        <v/>
      </c>
      <c r="F46" s="53" t="str">
        <f>IF('Výběr družstva'!F47="","",'Výběr družstva'!F47)</f>
        <v/>
      </c>
      <c r="G46" s="53" t="str">
        <f>IF('Výběr družstva'!G47="","",'Výběr družstva'!G47)</f>
        <v/>
      </c>
      <c r="H46" s="53" t="str">
        <f>IF('Výběr družstva'!H47="","",'Výběr družstva'!H47)</f>
        <v/>
      </c>
      <c r="I46" s="53" t="str">
        <f>IF('Výběr družstva'!I47="","",'Výběr družstva'!I47)</f>
        <v/>
      </c>
    </row>
    <row r="47" spans="1:9" ht="27" customHeight="1" x14ac:dyDescent="0.2">
      <c r="A47" s="62" t="str">
        <f>IF('Výběr družstva'!A48="","",'Výběr družstva'!A48)</f>
        <v/>
      </c>
      <c r="B47" s="53" t="str">
        <f>IF('Výběr družstva'!B48="","",'Výběr družstva'!B48)</f>
        <v/>
      </c>
      <c r="C47" s="53" t="str">
        <f>IF('Výběr družstva'!C48="","",'Výběr družstva'!C48)</f>
        <v/>
      </c>
      <c r="D47" s="53" t="str">
        <f>IF('Výběr družstva'!D48="","",'Výběr družstva'!D48)</f>
        <v/>
      </c>
      <c r="E47" s="65" t="str">
        <f>IF('Výběr družstva'!E48="","",'Výběr družstva'!E48)</f>
        <v/>
      </c>
      <c r="F47" s="53" t="str">
        <f>IF('Výběr družstva'!F48="","",'Výběr družstva'!F48)</f>
        <v/>
      </c>
      <c r="G47" s="53" t="str">
        <f>IF('Výběr družstva'!G48="","",'Výběr družstva'!G48)</f>
        <v/>
      </c>
      <c r="H47" s="53" t="str">
        <f>IF('Výběr družstva'!H48="","",'Výběr družstva'!H48)</f>
        <v/>
      </c>
      <c r="I47" s="53" t="str">
        <f>IF('Výběr družstva'!I48="","",'Výběr družstva'!I48)</f>
        <v/>
      </c>
    </row>
    <row r="48" spans="1:9" ht="27" customHeight="1" x14ac:dyDescent="0.2">
      <c r="A48" s="62" t="str">
        <f>IF('Výběr družstva'!A49="","",'Výběr družstva'!A49)</f>
        <v/>
      </c>
      <c r="B48" s="53" t="str">
        <f>IF('Výběr družstva'!B49="","",'Výběr družstva'!B49)</f>
        <v/>
      </c>
      <c r="C48" s="53" t="str">
        <f>IF('Výběr družstva'!C49="","",'Výběr družstva'!C49)</f>
        <v/>
      </c>
      <c r="D48" s="53" t="str">
        <f>IF('Výběr družstva'!D49="","",'Výběr družstva'!D49)</f>
        <v/>
      </c>
      <c r="E48" s="65" t="str">
        <f>IF('Výběr družstva'!E49="","",'Výběr družstva'!E49)</f>
        <v/>
      </c>
      <c r="F48" s="53" t="str">
        <f>IF('Výběr družstva'!F49="","",'Výběr družstva'!F49)</f>
        <v/>
      </c>
      <c r="G48" s="53" t="str">
        <f>IF('Výběr družstva'!G49="","",'Výběr družstva'!G49)</f>
        <v/>
      </c>
      <c r="H48" s="53" t="str">
        <f>IF('Výběr družstva'!H49="","",'Výběr družstva'!H49)</f>
        <v/>
      </c>
      <c r="I48" s="53" t="str">
        <f>IF('Výběr družstva'!I49="","",'Výběr družstva'!I49)</f>
        <v/>
      </c>
    </row>
    <row r="49" spans="1:9" ht="27" customHeight="1" x14ac:dyDescent="0.2">
      <c r="A49" s="62" t="str">
        <f>IF('Výběr družstva'!A50="","",'Výběr družstva'!A50)</f>
        <v/>
      </c>
      <c r="B49" s="53" t="str">
        <f>IF('Výběr družstva'!B50="","",'Výběr družstva'!B50)</f>
        <v/>
      </c>
      <c r="C49" s="53" t="str">
        <f>IF('Výběr družstva'!C50="","",'Výběr družstva'!C50)</f>
        <v/>
      </c>
      <c r="D49" s="53" t="str">
        <f>IF('Výběr družstva'!D50="","",'Výběr družstva'!D50)</f>
        <v/>
      </c>
      <c r="E49" s="65" t="str">
        <f>IF('Výběr družstva'!E50="","",'Výběr družstva'!E50)</f>
        <v/>
      </c>
      <c r="F49" s="53" t="str">
        <f>IF('Výběr družstva'!F50="","",'Výběr družstva'!F50)</f>
        <v/>
      </c>
      <c r="G49" s="53" t="str">
        <f>IF('Výběr družstva'!G50="","",'Výběr družstva'!G50)</f>
        <v/>
      </c>
      <c r="H49" s="53" t="str">
        <f>IF('Výběr družstva'!H50="","",'Výběr družstva'!H50)</f>
        <v/>
      </c>
      <c r="I49" s="53" t="str">
        <f>IF('Výběr družstva'!I50="","",'Výběr družstva'!I50)</f>
        <v/>
      </c>
    </row>
    <row r="50" spans="1:9" ht="27" customHeight="1" x14ac:dyDescent="0.2">
      <c r="A50" s="62" t="str">
        <f>IF('Výběr družstva'!A51="","",'Výběr družstva'!A51)</f>
        <v/>
      </c>
      <c r="B50" s="53" t="str">
        <f>IF('Výběr družstva'!B51="","",'Výběr družstva'!B51)</f>
        <v/>
      </c>
      <c r="C50" s="53" t="str">
        <f>IF('Výběr družstva'!C51="","",'Výběr družstva'!C51)</f>
        <v/>
      </c>
      <c r="D50" s="53" t="str">
        <f>IF('Výběr družstva'!D51="","",'Výběr družstva'!D51)</f>
        <v/>
      </c>
      <c r="E50" s="65" t="str">
        <f>IF('Výběr družstva'!E51="","",'Výběr družstva'!E51)</f>
        <v/>
      </c>
      <c r="F50" s="53" t="str">
        <f>IF('Výběr družstva'!F51="","",'Výběr družstva'!F51)</f>
        <v/>
      </c>
      <c r="G50" s="53" t="str">
        <f>IF('Výběr družstva'!G51="","",'Výběr družstva'!G51)</f>
        <v/>
      </c>
      <c r="H50" s="53" t="str">
        <f>IF('Výběr družstva'!H51="","",'Výběr družstva'!H51)</f>
        <v/>
      </c>
      <c r="I50" s="53" t="str">
        <f>IF('Výběr družstva'!I51="","",'Výběr družstva'!I51)</f>
        <v/>
      </c>
    </row>
    <row r="51" spans="1:9" ht="27" customHeight="1" x14ac:dyDescent="0.2">
      <c r="A51" s="62" t="str">
        <f>IF('Výběr družstva'!A52="","",'Výběr družstva'!A52)</f>
        <v/>
      </c>
      <c r="B51" s="53" t="str">
        <f>IF('Výběr družstva'!B52="","",'Výběr družstva'!B52)</f>
        <v/>
      </c>
      <c r="C51" s="53" t="str">
        <f>IF('Výběr družstva'!C52="","",'Výběr družstva'!C52)</f>
        <v/>
      </c>
      <c r="D51" s="53" t="str">
        <f>IF('Výběr družstva'!D52="","",'Výběr družstva'!D52)</f>
        <v/>
      </c>
      <c r="E51" s="65" t="str">
        <f>IF('Výběr družstva'!E52="","",'Výběr družstva'!E52)</f>
        <v/>
      </c>
      <c r="F51" s="53" t="str">
        <f>IF('Výběr družstva'!F52="","",'Výběr družstva'!F52)</f>
        <v/>
      </c>
      <c r="G51" s="53" t="str">
        <f>IF('Výběr družstva'!G52="","",'Výběr družstva'!G52)</f>
        <v/>
      </c>
      <c r="H51" s="53" t="str">
        <f>IF('Výběr družstva'!H52="","",'Výběr družstva'!H52)</f>
        <v/>
      </c>
      <c r="I51" s="53" t="str">
        <f>IF('Výběr družstva'!I52="","",'Výběr družstva'!I52)</f>
        <v/>
      </c>
    </row>
    <row r="52" spans="1:9" ht="27" customHeight="1" x14ac:dyDescent="0.2">
      <c r="A52" s="62" t="str">
        <f>IF('Výběr družstva'!A53="","",'Výběr družstva'!A53)</f>
        <v/>
      </c>
      <c r="B52" s="53" t="str">
        <f>IF('Výběr družstva'!B53="","",'Výběr družstva'!B53)</f>
        <v/>
      </c>
      <c r="C52" s="53" t="str">
        <f>IF('Výběr družstva'!C53="","",'Výběr družstva'!C53)</f>
        <v/>
      </c>
      <c r="D52" s="53" t="str">
        <f>IF('Výběr družstva'!D53="","",'Výběr družstva'!D53)</f>
        <v/>
      </c>
      <c r="E52" s="65" t="str">
        <f>IF('Výběr družstva'!E53="","",'Výběr družstva'!E53)</f>
        <v/>
      </c>
      <c r="F52" s="53" t="str">
        <f>IF('Výběr družstva'!F53="","",'Výběr družstva'!F53)</f>
        <v/>
      </c>
      <c r="G52" s="53" t="str">
        <f>IF('Výběr družstva'!G53="","",'Výběr družstva'!G53)</f>
        <v/>
      </c>
      <c r="H52" s="53" t="str">
        <f>IF('Výběr družstva'!H53="","",'Výběr družstva'!H53)</f>
        <v/>
      </c>
      <c r="I52" s="53" t="str">
        <f>IF('Výběr družstva'!I53="","",'Výběr družstva'!I53)</f>
        <v/>
      </c>
    </row>
    <row r="53" spans="1:9" ht="27" customHeight="1" x14ac:dyDescent="0.2">
      <c r="A53" s="62" t="str">
        <f>IF('Výběr družstva'!A54="","",'Výběr družstva'!A54)</f>
        <v/>
      </c>
      <c r="B53" s="53" t="str">
        <f>IF('Výběr družstva'!B54="","",'Výběr družstva'!B54)</f>
        <v/>
      </c>
      <c r="C53" s="53" t="str">
        <f>IF('Výběr družstva'!C54="","",'Výběr družstva'!C54)</f>
        <v/>
      </c>
      <c r="D53" s="53" t="str">
        <f>IF('Výběr družstva'!D54="","",'Výběr družstva'!D54)</f>
        <v/>
      </c>
      <c r="E53" s="65" t="str">
        <f>IF('Výběr družstva'!E54="","",'Výběr družstva'!E54)</f>
        <v/>
      </c>
      <c r="F53" s="53" t="str">
        <f>IF('Výběr družstva'!F54="","",'Výběr družstva'!F54)</f>
        <v/>
      </c>
      <c r="G53" s="53" t="str">
        <f>IF('Výběr družstva'!G54="","",'Výběr družstva'!G54)</f>
        <v/>
      </c>
      <c r="H53" s="53" t="str">
        <f>IF('Výběr družstva'!H54="","",'Výběr družstva'!H54)</f>
        <v/>
      </c>
      <c r="I53" s="53" t="str">
        <f>IF('Výběr družstva'!I54="","",'Výběr družstva'!I54)</f>
        <v/>
      </c>
    </row>
    <row r="54" spans="1:9" ht="27" customHeight="1" x14ac:dyDescent="0.2">
      <c r="A54" s="62" t="str">
        <f>IF('Výběr družstva'!A55="","",'Výběr družstva'!A55)</f>
        <v/>
      </c>
      <c r="B54" s="53" t="str">
        <f>IF('Výběr družstva'!B55="","",'Výběr družstva'!B55)</f>
        <v/>
      </c>
      <c r="C54" s="53" t="str">
        <f>IF('Výběr družstva'!C55="","",'Výběr družstva'!C55)</f>
        <v/>
      </c>
      <c r="D54" s="53" t="str">
        <f>IF('Výběr družstva'!D55="","",'Výběr družstva'!D55)</f>
        <v/>
      </c>
      <c r="E54" s="65" t="str">
        <f>IF('Výběr družstva'!E55="","",'Výběr družstva'!E55)</f>
        <v/>
      </c>
      <c r="F54" s="53" t="str">
        <f>IF('Výběr družstva'!F55="","",'Výběr družstva'!F55)</f>
        <v/>
      </c>
      <c r="G54" s="53" t="str">
        <f>IF('Výběr družstva'!G55="","",'Výběr družstva'!G55)</f>
        <v/>
      </c>
      <c r="H54" s="53" t="str">
        <f>IF('Výběr družstva'!H55="","",'Výběr družstva'!H55)</f>
        <v/>
      </c>
      <c r="I54" s="53" t="str">
        <f>IF('Výběr družstva'!I55="","",'Výběr družstva'!I55)</f>
        <v/>
      </c>
    </row>
    <row r="55" spans="1:9" ht="27" customHeight="1" x14ac:dyDescent="0.2">
      <c r="A55" s="62" t="str">
        <f>IF('Výběr družstva'!A56="","",'Výběr družstva'!A56)</f>
        <v/>
      </c>
      <c r="B55" s="53" t="str">
        <f>IF('Výběr družstva'!B56="","",'Výběr družstva'!B56)</f>
        <v/>
      </c>
      <c r="C55" s="53" t="str">
        <f>IF('Výběr družstva'!C56="","",'Výběr družstva'!C56)</f>
        <v/>
      </c>
      <c r="D55" s="53" t="str">
        <f>IF('Výběr družstva'!D56="","",'Výběr družstva'!D56)</f>
        <v/>
      </c>
      <c r="E55" s="65" t="str">
        <f>IF('Výběr družstva'!E56="","",'Výběr družstva'!E56)</f>
        <v/>
      </c>
      <c r="F55" s="53" t="str">
        <f>IF('Výběr družstva'!F56="","",'Výběr družstva'!F56)</f>
        <v/>
      </c>
      <c r="G55" s="53" t="str">
        <f>IF('Výběr družstva'!G56="","",'Výběr družstva'!G56)</f>
        <v/>
      </c>
      <c r="H55" s="53" t="str">
        <f>IF('Výběr družstva'!H56="","",'Výběr družstva'!H56)</f>
        <v/>
      </c>
      <c r="I55" s="53" t="str">
        <f>IF('Výběr družstva'!I56="","",'Výběr družstva'!I56)</f>
        <v/>
      </c>
    </row>
    <row r="56" spans="1:9" ht="27" customHeight="1" x14ac:dyDescent="0.2">
      <c r="A56" s="62" t="str">
        <f>IF('Výběr družstva'!A57="","",'Výběr družstva'!A57)</f>
        <v/>
      </c>
      <c r="B56" s="53" t="str">
        <f>IF('Výběr družstva'!B57="","",'Výběr družstva'!B57)</f>
        <v/>
      </c>
      <c r="C56" s="53" t="str">
        <f>IF('Výběr družstva'!C57="","",'Výběr družstva'!C57)</f>
        <v/>
      </c>
      <c r="D56" s="53" t="str">
        <f>IF('Výběr družstva'!D57="","",'Výběr družstva'!D57)</f>
        <v/>
      </c>
      <c r="E56" s="65" t="str">
        <f>IF('Výběr družstva'!E57="","",'Výběr družstva'!E57)</f>
        <v/>
      </c>
      <c r="F56" s="53" t="str">
        <f>IF('Výběr družstva'!F57="","",'Výběr družstva'!F57)</f>
        <v/>
      </c>
      <c r="G56" s="53" t="str">
        <f>IF('Výběr družstva'!G57="","",'Výběr družstva'!G57)</f>
        <v/>
      </c>
      <c r="H56" s="53" t="str">
        <f>IF('Výběr družstva'!H57="","",'Výběr družstva'!H57)</f>
        <v/>
      </c>
      <c r="I56" s="53" t="str">
        <f>IF('Výběr družstva'!I57="","",'Výběr družstva'!I57)</f>
        <v/>
      </c>
    </row>
    <row r="57" spans="1:9" ht="27" customHeight="1" x14ac:dyDescent="0.2">
      <c r="A57" s="62" t="str">
        <f>IF('Výběr družstva'!A58="","",'Výběr družstva'!A58)</f>
        <v/>
      </c>
      <c r="B57" s="53" t="str">
        <f>IF('Výběr družstva'!B58="","",'Výběr družstva'!B58)</f>
        <v/>
      </c>
      <c r="C57" s="53" t="str">
        <f>IF('Výběr družstva'!C58="","",'Výběr družstva'!C58)</f>
        <v/>
      </c>
      <c r="D57" s="53" t="str">
        <f>IF('Výběr družstva'!D58="","",'Výběr družstva'!D58)</f>
        <v/>
      </c>
      <c r="E57" s="65" t="str">
        <f>IF('Výběr družstva'!E58="","",'Výběr družstva'!E58)</f>
        <v/>
      </c>
      <c r="F57" s="53" t="str">
        <f>IF('Výběr družstva'!F58="","",'Výběr družstva'!F58)</f>
        <v/>
      </c>
      <c r="G57" s="53" t="str">
        <f>IF('Výběr družstva'!G58="","",'Výběr družstva'!G58)</f>
        <v/>
      </c>
      <c r="H57" s="53" t="str">
        <f>IF('Výběr družstva'!H58="","",'Výběr družstva'!H58)</f>
        <v/>
      </c>
      <c r="I57" s="53" t="str">
        <f>IF('Výběr družstva'!I58="","",'Výběr družstva'!I58)</f>
        <v/>
      </c>
    </row>
    <row r="58" spans="1:9" ht="27" customHeight="1" x14ac:dyDescent="0.2">
      <c r="A58" s="62" t="str">
        <f>IF('Výběr družstva'!A59="","",'Výběr družstva'!A59)</f>
        <v/>
      </c>
      <c r="B58" s="53" t="str">
        <f>IF('Výběr družstva'!B59="","",'Výběr družstva'!B59)</f>
        <v/>
      </c>
      <c r="C58" s="53" t="str">
        <f>IF('Výběr družstva'!C59="","",'Výběr družstva'!C59)</f>
        <v/>
      </c>
      <c r="D58" s="53" t="str">
        <f>IF('Výběr družstva'!D59="","",'Výběr družstva'!D59)</f>
        <v/>
      </c>
      <c r="E58" s="65" t="str">
        <f>IF('Výběr družstva'!E59="","",'Výběr družstva'!E59)</f>
        <v/>
      </c>
      <c r="F58" s="53" t="str">
        <f>IF('Výběr družstva'!F59="","",'Výběr družstva'!F59)</f>
        <v/>
      </c>
      <c r="G58" s="53" t="str">
        <f>IF('Výběr družstva'!G59="","",'Výběr družstva'!G59)</f>
        <v/>
      </c>
      <c r="H58" s="53" t="str">
        <f>IF('Výběr družstva'!H59="","",'Výběr družstva'!H59)</f>
        <v/>
      </c>
      <c r="I58" s="53" t="str">
        <f>IF('Výběr družstva'!I59="","",'Výběr družstva'!I59)</f>
        <v/>
      </c>
    </row>
    <row r="59" spans="1:9" ht="27" customHeight="1" x14ac:dyDescent="0.2">
      <c r="A59" s="62" t="str">
        <f>IF('Výběr družstva'!A60="","",'Výběr družstva'!A60)</f>
        <v/>
      </c>
      <c r="B59" s="53" t="str">
        <f>IF('Výběr družstva'!B60="","",'Výběr družstva'!B60)</f>
        <v/>
      </c>
      <c r="C59" s="53" t="str">
        <f>IF('Výběr družstva'!C60="","",'Výběr družstva'!C60)</f>
        <v/>
      </c>
      <c r="D59" s="53" t="str">
        <f>IF('Výběr družstva'!D60="","",'Výběr družstva'!D60)</f>
        <v/>
      </c>
      <c r="E59" s="65" t="str">
        <f>IF('Výběr družstva'!E60="","",'Výběr družstva'!E60)</f>
        <v/>
      </c>
      <c r="F59" s="53" t="str">
        <f>IF('Výběr družstva'!F60="","",'Výběr družstva'!F60)</f>
        <v/>
      </c>
      <c r="G59" s="53" t="str">
        <f>IF('Výběr družstva'!G60="","",'Výběr družstva'!G60)</f>
        <v/>
      </c>
      <c r="H59" s="53" t="str">
        <f>IF('Výběr družstva'!H60="","",'Výběr družstva'!H60)</f>
        <v/>
      </c>
      <c r="I59" s="53" t="str">
        <f>IF('Výběr družstva'!I60="","",'Výběr družstva'!I60)</f>
        <v/>
      </c>
    </row>
    <row r="60" spans="1:9" ht="27" customHeight="1" x14ac:dyDescent="0.2">
      <c r="A60" s="62" t="str">
        <f>IF('Výběr družstva'!A61="","",'Výběr družstva'!A61)</f>
        <v/>
      </c>
      <c r="B60" s="53" t="str">
        <f>IF('Výběr družstva'!B61="","",'Výběr družstva'!B61)</f>
        <v/>
      </c>
      <c r="C60" s="53" t="str">
        <f>IF('Výběr družstva'!C61="","",'Výběr družstva'!C61)</f>
        <v/>
      </c>
      <c r="D60" s="53" t="str">
        <f>IF('Výběr družstva'!D61="","",'Výběr družstva'!D61)</f>
        <v/>
      </c>
      <c r="E60" s="65" t="str">
        <f>IF('Výběr družstva'!E61="","",'Výběr družstva'!E61)</f>
        <v/>
      </c>
      <c r="F60" s="53" t="str">
        <f>IF('Výběr družstva'!F61="","",'Výběr družstva'!F61)</f>
        <v/>
      </c>
      <c r="G60" s="53" t="str">
        <f>IF('Výběr družstva'!G61="","",'Výběr družstva'!G61)</f>
        <v/>
      </c>
      <c r="H60" s="53" t="str">
        <f>IF('Výběr družstva'!H61="","",'Výběr družstva'!H61)</f>
        <v/>
      </c>
      <c r="I60" s="53" t="str">
        <f>IF('Výběr družstva'!I61="","",'Výběr družstva'!I61)</f>
        <v/>
      </c>
    </row>
    <row r="61" spans="1:9" ht="27" customHeight="1" x14ac:dyDescent="0.2">
      <c r="A61" s="62" t="str">
        <f>IF('Výběr družstva'!A62="","",'Výběr družstva'!A62)</f>
        <v/>
      </c>
      <c r="B61" s="53" t="str">
        <f>IF('Výběr družstva'!B62="","",'Výběr družstva'!B62)</f>
        <v/>
      </c>
      <c r="C61" s="53" t="str">
        <f>IF('Výběr družstva'!C62="","",'Výběr družstva'!C62)</f>
        <v/>
      </c>
      <c r="D61" s="53" t="str">
        <f>IF('Výběr družstva'!D62="","",'Výběr družstva'!D62)</f>
        <v/>
      </c>
      <c r="E61" s="65" t="str">
        <f>IF('Výběr družstva'!E62="","",'Výběr družstva'!E62)</f>
        <v/>
      </c>
      <c r="F61" s="53" t="str">
        <f>IF('Výběr družstva'!F62="","",'Výběr družstva'!F62)</f>
        <v/>
      </c>
      <c r="G61" s="53" t="str">
        <f>IF('Výběr družstva'!G62="","",'Výběr družstva'!G62)</f>
        <v/>
      </c>
      <c r="H61" s="53" t="str">
        <f>IF('Výběr družstva'!H62="","",'Výběr družstva'!H62)</f>
        <v/>
      </c>
      <c r="I61" s="53" t="str">
        <f>IF('Výběr družstva'!I62="","",'Výběr družstva'!I62)</f>
        <v/>
      </c>
    </row>
    <row r="62" spans="1:9" ht="27" customHeight="1" x14ac:dyDescent="0.2">
      <c r="A62" s="62" t="str">
        <f>IF('Výběr družstva'!A63="","",'Výběr družstva'!A63)</f>
        <v/>
      </c>
      <c r="B62" s="53" t="str">
        <f>IF('Výběr družstva'!B63="","",'Výběr družstva'!B63)</f>
        <v/>
      </c>
      <c r="C62" s="53" t="str">
        <f>IF('Výběr družstva'!C63="","",'Výběr družstva'!C63)</f>
        <v/>
      </c>
      <c r="D62" s="53" t="str">
        <f>IF('Výběr družstva'!D63="","",'Výběr družstva'!D63)</f>
        <v/>
      </c>
      <c r="E62" s="65" t="str">
        <f>IF('Výběr družstva'!E63="","",'Výběr družstva'!E63)</f>
        <v/>
      </c>
      <c r="F62" s="53" t="str">
        <f>IF('Výběr družstva'!F63="","",'Výběr družstva'!F63)</f>
        <v/>
      </c>
      <c r="G62" s="53" t="str">
        <f>IF('Výběr družstva'!G63="","",'Výběr družstva'!G63)</f>
        <v/>
      </c>
      <c r="H62" s="53" t="str">
        <f>IF('Výběr družstva'!H63="","",'Výběr družstva'!H63)</f>
        <v/>
      </c>
      <c r="I62" s="53" t="str">
        <f>IF('Výběr družstva'!I63="","",'Výběr družstva'!I63)</f>
        <v/>
      </c>
    </row>
    <row r="63" spans="1:9" ht="27" customHeight="1" x14ac:dyDescent="0.2">
      <c r="A63" s="62" t="str">
        <f>IF('Výběr družstva'!A64="","",'Výběr družstva'!A64)</f>
        <v/>
      </c>
      <c r="B63" s="53" t="str">
        <f>IF('Výběr družstva'!B64="","",'Výběr družstva'!B64)</f>
        <v/>
      </c>
      <c r="C63" s="53" t="str">
        <f>IF('Výběr družstva'!C64="","",'Výběr družstva'!C64)</f>
        <v/>
      </c>
      <c r="D63" s="53" t="str">
        <f>IF('Výběr družstva'!D64="","",'Výběr družstva'!D64)</f>
        <v/>
      </c>
      <c r="E63" s="65" t="str">
        <f>IF('Výběr družstva'!E64="","",'Výběr družstva'!E64)</f>
        <v/>
      </c>
      <c r="F63" s="53" t="str">
        <f>IF('Výběr družstva'!F64="","",'Výběr družstva'!F64)</f>
        <v/>
      </c>
      <c r="G63" s="53" t="str">
        <f>IF('Výběr družstva'!G64="","",'Výběr družstva'!G64)</f>
        <v/>
      </c>
      <c r="H63" s="53" t="str">
        <f>IF('Výběr družstva'!H64="","",'Výběr družstva'!H64)</f>
        <v/>
      </c>
      <c r="I63" s="53" t="str">
        <f>IF('Výběr družstva'!I64="","",'Výběr družstva'!I64)</f>
        <v/>
      </c>
    </row>
    <row r="64" spans="1:9" ht="27" customHeight="1" x14ac:dyDescent="0.2">
      <c r="A64" s="62" t="str">
        <f>IF('Výběr družstva'!A65="","",'Výběr družstva'!A65)</f>
        <v/>
      </c>
      <c r="B64" s="53" t="str">
        <f>IF('Výběr družstva'!B65="","",'Výběr družstva'!B65)</f>
        <v/>
      </c>
      <c r="C64" s="53" t="str">
        <f>IF('Výběr družstva'!C65="","",'Výběr družstva'!C65)</f>
        <v/>
      </c>
      <c r="D64" s="53" t="str">
        <f>IF('Výběr družstva'!D65="","",'Výběr družstva'!D65)</f>
        <v/>
      </c>
      <c r="E64" s="65" t="str">
        <f>IF('Výběr družstva'!E65="","",'Výběr družstva'!E65)</f>
        <v/>
      </c>
      <c r="F64" s="53" t="str">
        <f>IF('Výběr družstva'!F65="","",'Výběr družstva'!F65)</f>
        <v/>
      </c>
      <c r="G64" s="53" t="str">
        <f>IF('Výběr družstva'!G65="","",'Výběr družstva'!G65)</f>
        <v/>
      </c>
      <c r="H64" s="53" t="str">
        <f>IF('Výběr družstva'!H65="","",'Výběr družstva'!H65)</f>
        <v/>
      </c>
      <c r="I64" s="53" t="str">
        <f>IF('Výběr družstva'!I65="","",'Výběr družstva'!I65)</f>
        <v/>
      </c>
    </row>
    <row r="65" spans="1:9" ht="27" customHeight="1" x14ac:dyDescent="0.2">
      <c r="A65" s="62" t="str">
        <f>IF('Výběr družstva'!A66="","",'Výběr družstva'!A66)</f>
        <v/>
      </c>
      <c r="B65" s="53" t="str">
        <f>IF('Výběr družstva'!B66="","",'Výběr družstva'!B66)</f>
        <v/>
      </c>
      <c r="C65" s="53" t="str">
        <f>IF('Výběr družstva'!C66="","",'Výběr družstva'!C66)</f>
        <v/>
      </c>
      <c r="D65" s="53" t="str">
        <f>IF('Výběr družstva'!D66="","",'Výběr družstva'!D66)</f>
        <v/>
      </c>
      <c r="E65" s="65" t="str">
        <f>IF('Výběr družstva'!E66="","",'Výběr družstva'!E66)</f>
        <v/>
      </c>
      <c r="F65" s="53" t="str">
        <f>IF('Výběr družstva'!F66="","",'Výběr družstva'!F66)</f>
        <v/>
      </c>
      <c r="G65" s="53" t="str">
        <f>IF('Výběr družstva'!G66="","",'Výběr družstva'!G66)</f>
        <v/>
      </c>
      <c r="H65" s="53" t="str">
        <f>IF('Výběr družstva'!H66="","",'Výběr družstva'!H66)</f>
        <v/>
      </c>
      <c r="I65" s="53" t="str">
        <f>IF('Výběr družstva'!I66="","",'Výběr družstva'!I66)</f>
        <v/>
      </c>
    </row>
    <row r="66" spans="1:9" ht="27" customHeight="1" x14ac:dyDescent="0.2">
      <c r="A66" s="62" t="str">
        <f>IF('Výběr družstva'!A67="","",'Výběr družstva'!A67)</f>
        <v/>
      </c>
      <c r="B66" s="53" t="str">
        <f>IF('Výběr družstva'!B67="","",'Výběr družstva'!B67)</f>
        <v/>
      </c>
      <c r="C66" s="53" t="str">
        <f>IF('Výběr družstva'!C67="","",'Výběr družstva'!C67)</f>
        <v/>
      </c>
      <c r="D66" s="53" t="str">
        <f>IF('Výběr družstva'!D67="","",'Výběr družstva'!D67)</f>
        <v/>
      </c>
      <c r="E66" s="65" t="str">
        <f>IF('Výběr družstva'!E67="","",'Výběr družstva'!E67)</f>
        <v/>
      </c>
      <c r="F66" s="53" t="str">
        <f>IF('Výběr družstva'!F67="","",'Výběr družstva'!F67)</f>
        <v/>
      </c>
      <c r="G66" s="53" t="str">
        <f>IF('Výběr družstva'!G67="","",'Výběr družstva'!G67)</f>
        <v/>
      </c>
      <c r="H66" s="53" t="str">
        <f>IF('Výběr družstva'!H67="","",'Výběr družstva'!H67)</f>
        <v/>
      </c>
      <c r="I66" s="53" t="str">
        <f>IF('Výběr družstva'!I67="","",'Výběr družstva'!I67)</f>
        <v/>
      </c>
    </row>
    <row r="67" spans="1:9" ht="27" customHeight="1" x14ac:dyDescent="0.2">
      <c r="A67" s="62" t="str">
        <f>IF('Výběr družstva'!A68="","",'Výběr družstva'!A68)</f>
        <v/>
      </c>
      <c r="B67" s="53" t="str">
        <f>IF('Výběr družstva'!B68="","",'Výběr družstva'!B68)</f>
        <v/>
      </c>
      <c r="C67" s="53" t="str">
        <f>IF('Výběr družstva'!C68="","",'Výběr družstva'!C68)</f>
        <v/>
      </c>
      <c r="D67" s="53" t="str">
        <f>IF('Výběr družstva'!D68="","",'Výběr družstva'!D68)</f>
        <v/>
      </c>
      <c r="E67" s="65" t="str">
        <f>IF('Výběr družstva'!E68="","",'Výběr družstva'!E68)</f>
        <v/>
      </c>
      <c r="F67" s="53" t="str">
        <f>IF('Výběr družstva'!F68="","",'Výběr družstva'!F68)</f>
        <v/>
      </c>
      <c r="G67" s="53" t="str">
        <f>IF('Výběr družstva'!G68="","",'Výběr družstva'!G68)</f>
        <v/>
      </c>
      <c r="H67" s="53" t="str">
        <f>IF('Výběr družstva'!H68="","",'Výběr družstva'!H68)</f>
        <v/>
      </c>
      <c r="I67" s="53" t="str">
        <f>IF('Výběr družstva'!I68="","",'Výběr družstva'!I68)</f>
        <v/>
      </c>
    </row>
    <row r="68" spans="1:9" ht="27" customHeight="1" x14ac:dyDescent="0.2">
      <c r="A68" s="62" t="str">
        <f>IF('Výběr družstva'!A69="","",'Výběr družstva'!A69)</f>
        <v/>
      </c>
      <c r="B68" s="53" t="str">
        <f>IF('Výběr družstva'!B69="","",'Výběr družstva'!B69)</f>
        <v/>
      </c>
      <c r="C68" s="53" t="str">
        <f>IF('Výběr družstva'!C69="","",'Výběr družstva'!C69)</f>
        <v/>
      </c>
      <c r="D68" s="53" t="str">
        <f>IF('Výběr družstva'!D69="","",'Výběr družstva'!D69)</f>
        <v/>
      </c>
      <c r="E68" s="65" t="str">
        <f>IF('Výběr družstva'!E69="","",'Výběr družstva'!E69)</f>
        <v/>
      </c>
      <c r="F68" s="53" t="str">
        <f>IF('Výběr družstva'!F69="","",'Výběr družstva'!F69)</f>
        <v/>
      </c>
      <c r="G68" s="53" t="str">
        <f>IF('Výběr družstva'!G69="","",'Výběr družstva'!G69)</f>
        <v/>
      </c>
      <c r="H68" s="53" t="str">
        <f>IF('Výběr družstva'!H69="","",'Výběr družstva'!H69)</f>
        <v/>
      </c>
      <c r="I68" s="53" t="str">
        <f>IF('Výběr družstva'!I69="","",'Výběr družstva'!I69)</f>
        <v/>
      </c>
    </row>
    <row r="69" spans="1:9" ht="27" customHeight="1" x14ac:dyDescent="0.2">
      <c r="A69" s="62" t="str">
        <f>IF('Výběr družstva'!A70="","",'Výběr družstva'!A70)</f>
        <v/>
      </c>
      <c r="B69" s="53" t="str">
        <f>IF('Výběr družstva'!B70="","",'Výběr družstva'!B70)</f>
        <v/>
      </c>
      <c r="C69" s="53" t="str">
        <f>IF('Výběr družstva'!C70="","",'Výběr družstva'!C70)</f>
        <v/>
      </c>
      <c r="D69" s="53" t="str">
        <f>IF('Výběr družstva'!D70="","",'Výběr družstva'!D70)</f>
        <v/>
      </c>
      <c r="E69" s="65" t="str">
        <f>IF('Výběr družstva'!E70="","",'Výběr družstva'!E70)</f>
        <v/>
      </c>
      <c r="F69" s="53" t="str">
        <f>IF('Výběr družstva'!F70="","",'Výběr družstva'!F70)</f>
        <v/>
      </c>
      <c r="G69" s="53" t="str">
        <f>IF('Výběr družstva'!G70="","",'Výběr družstva'!G70)</f>
        <v/>
      </c>
      <c r="H69" s="53" t="str">
        <f>IF('Výběr družstva'!H70="","",'Výběr družstva'!H70)</f>
        <v/>
      </c>
      <c r="I69" s="53" t="str">
        <f>IF('Výběr družstva'!I70="","",'Výběr družstva'!I70)</f>
        <v/>
      </c>
    </row>
    <row r="70" spans="1:9" ht="27" customHeight="1" x14ac:dyDescent="0.2">
      <c r="A70" s="62" t="str">
        <f>IF('Výběr družstva'!A71="","",'Výběr družstva'!A71)</f>
        <v/>
      </c>
      <c r="B70" s="53" t="str">
        <f>IF('Výběr družstva'!B71="","",'Výběr družstva'!B71)</f>
        <v/>
      </c>
      <c r="C70" s="53" t="str">
        <f>IF('Výběr družstva'!C71="","",'Výběr družstva'!C71)</f>
        <v/>
      </c>
      <c r="D70" s="53" t="str">
        <f>IF('Výběr družstva'!D71="","",'Výběr družstva'!D71)</f>
        <v/>
      </c>
      <c r="E70" s="65" t="str">
        <f>IF('Výběr družstva'!E71="","",'Výběr družstva'!E71)</f>
        <v/>
      </c>
      <c r="F70" s="53" t="str">
        <f>IF('Výběr družstva'!F71="","",'Výběr družstva'!F71)</f>
        <v/>
      </c>
      <c r="G70" s="53" t="str">
        <f>IF('Výběr družstva'!G71="","",'Výběr družstva'!G71)</f>
        <v/>
      </c>
      <c r="H70" s="53" t="str">
        <f>IF('Výběr družstva'!H71="","",'Výběr družstva'!H71)</f>
        <v/>
      </c>
      <c r="I70" s="53" t="str">
        <f>IF('Výběr družstva'!I71="","",'Výběr družstva'!I71)</f>
        <v/>
      </c>
    </row>
    <row r="71" spans="1:9" ht="27" customHeight="1" x14ac:dyDescent="0.2">
      <c r="A71" s="62" t="str">
        <f>IF('Výběr družstva'!A72="","",'Výběr družstva'!A72)</f>
        <v/>
      </c>
      <c r="B71" s="53" t="str">
        <f>IF('Výběr družstva'!B72="","",'Výběr družstva'!B72)</f>
        <v/>
      </c>
      <c r="C71" s="53" t="str">
        <f>IF('Výběr družstva'!C72="","",'Výběr družstva'!C72)</f>
        <v/>
      </c>
      <c r="D71" s="53" t="str">
        <f>IF('Výběr družstva'!D72="","",'Výběr družstva'!D72)</f>
        <v/>
      </c>
      <c r="E71" s="65" t="str">
        <f>IF('Výběr družstva'!E72="","",'Výběr družstva'!E72)</f>
        <v/>
      </c>
      <c r="F71" s="53" t="str">
        <f>IF('Výběr družstva'!F72="","",'Výběr družstva'!F72)</f>
        <v/>
      </c>
      <c r="G71" s="53" t="str">
        <f>IF('Výběr družstva'!G72="","",'Výběr družstva'!G72)</f>
        <v/>
      </c>
      <c r="H71" s="53" t="str">
        <f>IF('Výběr družstva'!H72="","",'Výběr družstva'!H72)</f>
        <v/>
      </c>
      <c r="I71" s="53" t="str">
        <f>IF('Výběr družstva'!I72="","",'Výběr družstva'!I72)</f>
        <v/>
      </c>
    </row>
    <row r="72" spans="1:9" ht="27" customHeight="1" x14ac:dyDescent="0.2">
      <c r="A72" s="62" t="str">
        <f>IF('Výběr družstva'!A73="","",'Výběr družstva'!A73)</f>
        <v/>
      </c>
      <c r="B72" s="53" t="str">
        <f>IF('Výběr družstva'!B73="","",'Výběr družstva'!B73)</f>
        <v/>
      </c>
      <c r="C72" s="53" t="str">
        <f>IF('Výběr družstva'!C73="","",'Výběr družstva'!C73)</f>
        <v/>
      </c>
      <c r="D72" s="53" t="str">
        <f>IF('Výběr družstva'!D73="","",'Výběr družstva'!D73)</f>
        <v/>
      </c>
      <c r="E72" s="65" t="str">
        <f>IF('Výběr družstva'!E73="","",'Výběr družstva'!E73)</f>
        <v/>
      </c>
      <c r="F72" s="53" t="str">
        <f>IF('Výběr družstva'!F73="","",'Výběr družstva'!F73)</f>
        <v/>
      </c>
      <c r="G72" s="53" t="str">
        <f>IF('Výběr družstva'!G73="","",'Výběr družstva'!G73)</f>
        <v/>
      </c>
      <c r="H72" s="53" t="str">
        <f>IF('Výběr družstva'!H73="","",'Výběr družstva'!H73)</f>
        <v/>
      </c>
      <c r="I72" s="53" t="str">
        <f>IF('Výběr družstva'!I73="","",'Výběr družstva'!I73)</f>
        <v/>
      </c>
    </row>
    <row r="73" spans="1:9" ht="27" customHeight="1" x14ac:dyDescent="0.2">
      <c r="A73" s="62" t="str">
        <f>IF('Výběr družstva'!A74="","",'Výběr družstva'!A74)</f>
        <v/>
      </c>
      <c r="B73" s="53" t="str">
        <f>IF('Výběr družstva'!B74="","",'Výběr družstva'!B74)</f>
        <v/>
      </c>
      <c r="C73" s="53" t="str">
        <f>IF('Výběr družstva'!C74="","",'Výběr družstva'!C74)</f>
        <v/>
      </c>
      <c r="D73" s="53" t="str">
        <f>IF('Výběr družstva'!D74="","",'Výběr družstva'!D74)</f>
        <v/>
      </c>
      <c r="E73" s="65" t="str">
        <f>IF('Výběr družstva'!E74="","",'Výběr družstva'!E74)</f>
        <v/>
      </c>
      <c r="F73" s="53" t="str">
        <f>IF('Výběr družstva'!F74="","",'Výběr družstva'!F74)</f>
        <v/>
      </c>
      <c r="G73" s="53" t="str">
        <f>IF('Výběr družstva'!G74="","",'Výběr družstva'!G74)</f>
        <v/>
      </c>
      <c r="H73" s="53" t="str">
        <f>IF('Výběr družstva'!H74="","",'Výběr družstva'!H74)</f>
        <v/>
      </c>
      <c r="I73" s="53" t="str">
        <f>IF('Výběr družstva'!I74="","",'Výběr družstva'!I74)</f>
        <v/>
      </c>
    </row>
    <row r="74" spans="1:9" ht="27" customHeight="1" x14ac:dyDescent="0.2">
      <c r="A74" s="62" t="str">
        <f>IF('Výběr družstva'!A75="","",'Výběr družstva'!A75)</f>
        <v/>
      </c>
      <c r="B74" s="53" t="str">
        <f>IF('Výběr družstva'!B75="","",'Výběr družstva'!B75)</f>
        <v/>
      </c>
      <c r="C74" s="53" t="str">
        <f>IF('Výběr družstva'!C75="","",'Výběr družstva'!C75)</f>
        <v/>
      </c>
      <c r="D74" s="53" t="str">
        <f>IF('Výběr družstva'!D75="","",'Výběr družstva'!D75)</f>
        <v/>
      </c>
      <c r="E74" s="65" t="str">
        <f>IF('Výběr družstva'!E75="","",'Výběr družstva'!E75)</f>
        <v/>
      </c>
      <c r="F74" s="53" t="str">
        <f>IF('Výběr družstva'!F75="","",'Výběr družstva'!F75)</f>
        <v/>
      </c>
      <c r="G74" s="53" t="str">
        <f>IF('Výběr družstva'!G75="","",'Výběr družstva'!G75)</f>
        <v/>
      </c>
      <c r="H74" s="53" t="str">
        <f>IF('Výběr družstva'!H75="","",'Výběr družstva'!H75)</f>
        <v/>
      </c>
      <c r="I74" s="53" t="str">
        <f>IF('Výběr družstva'!I75="","",'Výběr družstva'!I75)</f>
        <v/>
      </c>
    </row>
    <row r="75" spans="1:9" ht="27" customHeight="1" x14ac:dyDescent="0.2">
      <c r="A75" s="62" t="str">
        <f>IF('Výběr družstva'!A76="","",'Výběr družstva'!A76)</f>
        <v/>
      </c>
      <c r="B75" s="53" t="str">
        <f>IF('Výběr družstva'!B76="","",'Výběr družstva'!B76)</f>
        <v/>
      </c>
      <c r="C75" s="53" t="str">
        <f>IF('Výběr družstva'!C76="","",'Výběr družstva'!C76)</f>
        <v/>
      </c>
      <c r="D75" s="53" t="str">
        <f>IF('Výběr družstva'!D76="","",'Výběr družstva'!D76)</f>
        <v/>
      </c>
      <c r="E75" s="65" t="str">
        <f>IF('Výběr družstva'!E76="","",'Výběr družstva'!E76)</f>
        <v/>
      </c>
      <c r="F75" s="53" t="str">
        <f>IF('Výběr družstva'!F76="","",'Výběr družstva'!F76)</f>
        <v/>
      </c>
      <c r="G75" s="53" t="str">
        <f>IF('Výběr družstva'!G76="","",'Výběr družstva'!G76)</f>
        <v/>
      </c>
      <c r="H75" s="53" t="str">
        <f>IF('Výběr družstva'!H76="","",'Výběr družstva'!H76)</f>
        <v/>
      </c>
      <c r="I75" s="53" t="str">
        <f>IF('Výběr družstva'!I76="","",'Výběr družstva'!I76)</f>
        <v/>
      </c>
    </row>
    <row r="76" spans="1:9" ht="27" customHeight="1" x14ac:dyDescent="0.2">
      <c r="A76" s="62" t="str">
        <f>IF('Výběr družstva'!A77="","",'Výběr družstva'!A77)</f>
        <v/>
      </c>
      <c r="B76" s="53" t="str">
        <f>IF('Výběr družstva'!B77="","",'Výběr družstva'!B77)</f>
        <v/>
      </c>
      <c r="C76" s="53" t="str">
        <f>IF('Výběr družstva'!C77="","",'Výběr družstva'!C77)</f>
        <v/>
      </c>
      <c r="D76" s="53" t="str">
        <f>IF('Výběr družstva'!D77="","",'Výběr družstva'!D77)</f>
        <v/>
      </c>
      <c r="E76" s="65" t="str">
        <f>IF('Výběr družstva'!E77="","",'Výběr družstva'!E77)</f>
        <v/>
      </c>
      <c r="F76" s="53" t="str">
        <f>IF('Výběr družstva'!F77="","",'Výběr družstva'!F77)</f>
        <v/>
      </c>
      <c r="G76" s="53" t="str">
        <f>IF('Výběr družstva'!G77="","",'Výběr družstva'!G77)</f>
        <v/>
      </c>
      <c r="H76" s="53" t="str">
        <f>IF('Výběr družstva'!H77="","",'Výběr družstva'!H77)</f>
        <v/>
      </c>
      <c r="I76" s="53" t="str">
        <f>IF('Výběr družstva'!I77="","",'Výběr družstva'!I77)</f>
        <v/>
      </c>
    </row>
    <row r="77" spans="1:9" ht="27" customHeight="1" x14ac:dyDescent="0.2">
      <c r="A77" s="62" t="str">
        <f>IF('Výběr družstva'!A78="","",'Výběr družstva'!A78)</f>
        <v/>
      </c>
      <c r="B77" s="53" t="str">
        <f>IF('Výběr družstva'!B78="","",'Výběr družstva'!B78)</f>
        <v/>
      </c>
      <c r="C77" s="53" t="str">
        <f>IF('Výběr družstva'!C78="","",'Výběr družstva'!C78)</f>
        <v/>
      </c>
      <c r="D77" s="53" t="str">
        <f>IF('Výběr družstva'!D78="","",'Výběr družstva'!D78)</f>
        <v/>
      </c>
      <c r="E77" s="65" t="str">
        <f>IF('Výběr družstva'!E78="","",'Výběr družstva'!E78)</f>
        <v/>
      </c>
      <c r="F77" s="53" t="str">
        <f>IF('Výběr družstva'!F78="","",'Výběr družstva'!F78)</f>
        <v/>
      </c>
      <c r="G77" s="53" t="str">
        <f>IF('Výběr družstva'!G78="","",'Výběr družstva'!G78)</f>
        <v/>
      </c>
      <c r="H77" s="53" t="str">
        <f>IF('Výběr družstva'!H78="","",'Výběr družstva'!H78)</f>
        <v/>
      </c>
      <c r="I77" s="53" t="str">
        <f>IF('Výběr družstva'!I78="","",'Výběr družstva'!I78)</f>
        <v/>
      </c>
    </row>
    <row r="78" spans="1:9" ht="27" customHeight="1" x14ac:dyDescent="0.2">
      <c r="A78" s="62" t="str">
        <f>IF('Výběr družstva'!A79="","",'Výběr družstva'!A79)</f>
        <v/>
      </c>
      <c r="B78" s="53" t="str">
        <f>IF('Výběr družstva'!B79="","",'Výběr družstva'!B79)</f>
        <v/>
      </c>
      <c r="C78" s="53" t="str">
        <f>IF('Výběr družstva'!C79="","",'Výběr družstva'!C79)</f>
        <v/>
      </c>
      <c r="D78" s="53" t="str">
        <f>IF('Výběr družstva'!D79="","",'Výběr družstva'!D79)</f>
        <v/>
      </c>
      <c r="E78" s="65" t="str">
        <f>IF('Výběr družstva'!E79="","",'Výběr družstva'!E79)</f>
        <v/>
      </c>
      <c r="F78" s="53" t="str">
        <f>IF('Výběr družstva'!F79="","",'Výběr družstva'!F79)</f>
        <v/>
      </c>
      <c r="G78" s="53" t="str">
        <f>IF('Výběr družstva'!G79="","",'Výběr družstva'!G79)</f>
        <v/>
      </c>
      <c r="H78" s="53" t="str">
        <f>IF('Výběr družstva'!H79="","",'Výběr družstva'!H79)</f>
        <v/>
      </c>
      <c r="I78" s="53" t="str">
        <f>IF('Výběr družstva'!I79="","",'Výběr družstva'!I79)</f>
        <v/>
      </c>
    </row>
    <row r="79" spans="1:9" ht="27" customHeight="1" x14ac:dyDescent="0.2">
      <c r="A79" s="62" t="str">
        <f>IF('Výběr družstva'!A80="","",'Výběr družstva'!A80)</f>
        <v/>
      </c>
      <c r="B79" s="53" t="str">
        <f>IF('Výběr družstva'!B80="","",'Výběr družstva'!B80)</f>
        <v/>
      </c>
      <c r="C79" s="53" t="str">
        <f>IF('Výběr družstva'!C80="","",'Výběr družstva'!C80)</f>
        <v/>
      </c>
      <c r="D79" s="53" t="str">
        <f>IF('Výběr družstva'!D80="","",'Výběr družstva'!D80)</f>
        <v/>
      </c>
      <c r="E79" s="65" t="str">
        <f>IF('Výběr družstva'!E80="","",'Výběr družstva'!E80)</f>
        <v/>
      </c>
      <c r="F79" s="53" t="str">
        <f>IF('Výběr družstva'!F80="","",'Výběr družstva'!F80)</f>
        <v/>
      </c>
      <c r="G79" s="53" t="str">
        <f>IF('Výběr družstva'!G80="","",'Výběr družstva'!G80)</f>
        <v/>
      </c>
      <c r="H79" s="53" t="str">
        <f>IF('Výběr družstva'!H80="","",'Výběr družstva'!H80)</f>
        <v/>
      </c>
      <c r="I79" s="53" t="str">
        <f>IF('Výběr družstva'!I80="","",'Výběr družstva'!I80)</f>
        <v/>
      </c>
    </row>
    <row r="80" spans="1:9" ht="27" customHeight="1" x14ac:dyDescent="0.2">
      <c r="A80" s="62" t="str">
        <f>IF('Výběr družstva'!A81="","",'Výběr družstva'!A81)</f>
        <v/>
      </c>
      <c r="B80" s="53" t="str">
        <f>IF('Výběr družstva'!B81="","",'Výběr družstva'!B81)</f>
        <v/>
      </c>
      <c r="C80" s="53" t="str">
        <f>IF('Výběr družstva'!C81="","",'Výběr družstva'!C81)</f>
        <v/>
      </c>
      <c r="D80" s="53" t="str">
        <f>IF('Výběr družstva'!D81="","",'Výběr družstva'!D81)</f>
        <v/>
      </c>
      <c r="E80" s="65" t="str">
        <f>IF('Výběr družstva'!E81="","",'Výběr družstva'!E81)</f>
        <v/>
      </c>
      <c r="F80" s="53" t="str">
        <f>IF('Výběr družstva'!F81="","",'Výběr družstva'!F81)</f>
        <v/>
      </c>
      <c r="G80" s="53" t="str">
        <f>IF('Výběr družstva'!G81="","",'Výběr družstva'!G81)</f>
        <v/>
      </c>
      <c r="H80" s="53" t="str">
        <f>IF('Výběr družstva'!H81="","",'Výběr družstva'!H81)</f>
        <v/>
      </c>
      <c r="I80" s="53" t="str">
        <f>IF('Výběr družstva'!I81="","",'Výběr družstva'!I81)</f>
        <v/>
      </c>
    </row>
    <row r="81" spans="1:9" ht="27" customHeight="1" x14ac:dyDescent="0.2">
      <c r="A81" s="62" t="str">
        <f>IF('Výběr družstva'!A82="","",'Výběr družstva'!A82)</f>
        <v/>
      </c>
      <c r="B81" s="53" t="str">
        <f>IF('Výběr družstva'!B82="","",'Výběr družstva'!B82)</f>
        <v/>
      </c>
      <c r="C81" s="53" t="str">
        <f>IF('Výběr družstva'!C82="","",'Výběr družstva'!C82)</f>
        <v/>
      </c>
      <c r="D81" s="53" t="str">
        <f>IF('Výběr družstva'!D82="","",'Výběr družstva'!D82)</f>
        <v/>
      </c>
      <c r="E81" s="65" t="str">
        <f>IF('Výběr družstva'!E82="","",'Výběr družstva'!E82)</f>
        <v/>
      </c>
      <c r="F81" s="53" t="str">
        <f>IF('Výběr družstva'!F82="","",'Výběr družstva'!F82)</f>
        <v/>
      </c>
      <c r="G81" s="53" t="str">
        <f>IF('Výběr družstva'!G82="","",'Výběr družstva'!G82)</f>
        <v/>
      </c>
      <c r="H81" s="53" t="str">
        <f>IF('Výběr družstva'!H82="","",'Výběr družstva'!H82)</f>
        <v/>
      </c>
      <c r="I81" s="53" t="str">
        <f>IF('Výběr družstva'!I82="","",'Výběr družstva'!I82)</f>
        <v/>
      </c>
    </row>
    <row r="82" spans="1:9" ht="27" customHeight="1" x14ac:dyDescent="0.2">
      <c r="A82" s="62" t="str">
        <f>IF('Výběr družstva'!A83="","",'Výběr družstva'!A83)</f>
        <v/>
      </c>
      <c r="B82" s="53" t="str">
        <f>IF('Výběr družstva'!B83="","",'Výběr družstva'!B83)</f>
        <v/>
      </c>
      <c r="C82" s="53" t="str">
        <f>IF('Výběr družstva'!C83="","",'Výběr družstva'!C83)</f>
        <v/>
      </c>
      <c r="D82" s="53" t="str">
        <f>IF('Výběr družstva'!D83="","",'Výběr družstva'!D83)</f>
        <v/>
      </c>
      <c r="E82" s="65" t="str">
        <f>IF('Výběr družstva'!E83="","",'Výběr družstva'!E83)</f>
        <v/>
      </c>
      <c r="F82" s="53" t="str">
        <f>IF('Výběr družstva'!F83="","",'Výběr družstva'!F83)</f>
        <v/>
      </c>
      <c r="G82" s="53" t="str">
        <f>IF('Výběr družstva'!G83="","",'Výběr družstva'!G83)</f>
        <v/>
      </c>
      <c r="H82" s="53" t="str">
        <f>IF('Výběr družstva'!H83="","",'Výběr družstva'!H83)</f>
        <v/>
      </c>
      <c r="I82" s="53" t="str">
        <f>IF('Výběr družstva'!I83="","",'Výběr družstva'!I83)</f>
        <v/>
      </c>
    </row>
    <row r="83" spans="1:9" ht="27" customHeight="1" x14ac:dyDescent="0.2">
      <c r="A83" s="62" t="str">
        <f>IF('Výběr družstva'!A84="","",'Výběr družstva'!A84)</f>
        <v/>
      </c>
      <c r="B83" s="53" t="str">
        <f>IF('Výběr družstva'!B84="","",'Výběr družstva'!B84)</f>
        <v/>
      </c>
      <c r="C83" s="53" t="str">
        <f>IF('Výběr družstva'!C84="","",'Výběr družstva'!C84)</f>
        <v/>
      </c>
      <c r="D83" s="53" t="str">
        <f>IF('Výběr družstva'!D84="","",'Výběr družstva'!D84)</f>
        <v/>
      </c>
      <c r="E83" s="65" t="str">
        <f>IF('Výběr družstva'!E84="","",'Výběr družstva'!E84)</f>
        <v/>
      </c>
      <c r="F83" s="53" t="str">
        <f>IF('Výběr družstva'!F84="","",'Výběr družstva'!F84)</f>
        <v/>
      </c>
      <c r="G83" s="53" t="str">
        <f>IF('Výběr družstva'!G84="","",'Výběr družstva'!G84)</f>
        <v/>
      </c>
      <c r="H83" s="53" t="str">
        <f>IF('Výběr družstva'!H84="","",'Výběr družstva'!H84)</f>
        <v/>
      </c>
      <c r="I83" s="53" t="str">
        <f>IF('Výběr družstva'!I84="","",'Výběr družstva'!I84)</f>
        <v/>
      </c>
    </row>
    <row r="84" spans="1:9" ht="27" customHeight="1" x14ac:dyDescent="0.2">
      <c r="A84" s="62" t="str">
        <f>IF('Výběr družstva'!A85="","",'Výběr družstva'!A85)</f>
        <v/>
      </c>
      <c r="B84" s="53" t="str">
        <f>IF('Výběr družstva'!B85="","",'Výběr družstva'!B85)</f>
        <v/>
      </c>
      <c r="C84" s="53" t="str">
        <f>IF('Výběr družstva'!C85="","",'Výběr družstva'!C85)</f>
        <v/>
      </c>
      <c r="D84" s="53" t="str">
        <f>IF('Výběr družstva'!D85="","",'Výběr družstva'!D85)</f>
        <v/>
      </c>
      <c r="E84" s="65" t="str">
        <f>IF('Výběr družstva'!E85="","",'Výběr družstva'!E85)</f>
        <v/>
      </c>
      <c r="F84" s="53" t="str">
        <f>IF('Výběr družstva'!F85="","",'Výběr družstva'!F85)</f>
        <v/>
      </c>
      <c r="G84" s="53" t="str">
        <f>IF('Výběr družstva'!G85="","",'Výběr družstva'!G85)</f>
        <v/>
      </c>
      <c r="H84" s="53" t="str">
        <f>IF('Výběr družstva'!H85="","",'Výběr družstva'!H85)</f>
        <v/>
      </c>
      <c r="I84" s="53" t="str">
        <f>IF('Výběr družstva'!I85="","",'Výběr družstva'!I85)</f>
        <v/>
      </c>
    </row>
    <row r="85" spans="1:9" ht="27" customHeight="1" x14ac:dyDescent="0.2">
      <c r="A85" s="62" t="str">
        <f>IF('Výběr družstva'!A86="","",'Výběr družstva'!A86)</f>
        <v/>
      </c>
      <c r="B85" s="53" t="str">
        <f>IF('Výběr družstva'!B86="","",'Výběr družstva'!B86)</f>
        <v/>
      </c>
      <c r="C85" s="53" t="str">
        <f>IF('Výběr družstva'!C86="","",'Výběr družstva'!C86)</f>
        <v/>
      </c>
      <c r="D85" s="53" t="str">
        <f>IF('Výběr družstva'!D86="","",'Výběr družstva'!D86)</f>
        <v/>
      </c>
      <c r="E85" s="65" t="str">
        <f>IF('Výběr družstva'!E86="","",'Výběr družstva'!E86)</f>
        <v/>
      </c>
      <c r="F85" s="53" t="str">
        <f>IF('Výběr družstva'!F86="","",'Výběr družstva'!F86)</f>
        <v/>
      </c>
      <c r="G85" s="53" t="str">
        <f>IF('Výběr družstva'!G86="","",'Výběr družstva'!G86)</f>
        <v/>
      </c>
      <c r="H85" s="53" t="str">
        <f>IF('Výběr družstva'!H86="","",'Výběr družstva'!H86)</f>
        <v/>
      </c>
      <c r="I85" s="53" t="str">
        <f>IF('Výběr družstva'!I86="","",'Výběr družstva'!I86)</f>
        <v/>
      </c>
    </row>
    <row r="86" spans="1:9" ht="27" customHeight="1" x14ac:dyDescent="0.2">
      <c r="A86" s="62" t="str">
        <f>IF('Výběr družstva'!A87="","",'Výběr družstva'!A87)</f>
        <v/>
      </c>
      <c r="B86" s="53" t="str">
        <f>IF('Výběr družstva'!B87="","",'Výběr družstva'!B87)</f>
        <v/>
      </c>
      <c r="C86" s="53" t="str">
        <f>IF('Výběr družstva'!C87="","",'Výběr družstva'!C87)</f>
        <v/>
      </c>
      <c r="D86" s="53" t="str">
        <f>IF('Výběr družstva'!D87="","",'Výběr družstva'!D87)</f>
        <v/>
      </c>
      <c r="E86" s="65" t="str">
        <f>IF('Výběr družstva'!E87="","",'Výběr družstva'!E87)</f>
        <v/>
      </c>
      <c r="F86" s="53" t="str">
        <f>IF('Výběr družstva'!F87="","",'Výběr družstva'!F87)</f>
        <v/>
      </c>
      <c r="G86" s="53" t="str">
        <f>IF('Výběr družstva'!G87="","",'Výběr družstva'!G87)</f>
        <v/>
      </c>
      <c r="H86" s="53" t="str">
        <f>IF('Výběr družstva'!H87="","",'Výběr družstva'!H87)</f>
        <v/>
      </c>
      <c r="I86" s="53" t="str">
        <f>IF('Výběr družstva'!I87="","",'Výběr družstva'!I87)</f>
        <v/>
      </c>
    </row>
    <row r="87" spans="1:9" ht="27" customHeight="1" x14ac:dyDescent="0.2">
      <c r="A87" s="62" t="str">
        <f>IF('Výběr družstva'!A88="","",'Výběr družstva'!A88)</f>
        <v/>
      </c>
      <c r="B87" s="53" t="str">
        <f>IF('Výběr družstva'!B88="","",'Výběr družstva'!B88)</f>
        <v/>
      </c>
      <c r="C87" s="53" t="str">
        <f>IF('Výběr družstva'!C88="","",'Výběr družstva'!C88)</f>
        <v/>
      </c>
      <c r="D87" s="53" t="str">
        <f>IF('Výběr družstva'!D88="","",'Výběr družstva'!D88)</f>
        <v/>
      </c>
      <c r="E87" s="65" t="str">
        <f>IF('Výběr družstva'!E88="","",'Výběr družstva'!E88)</f>
        <v/>
      </c>
      <c r="F87" s="53" t="str">
        <f>IF('Výběr družstva'!F88="","",'Výběr družstva'!F88)</f>
        <v/>
      </c>
      <c r="G87" s="53" t="str">
        <f>IF('Výběr družstva'!G88="","",'Výběr družstva'!G88)</f>
        <v/>
      </c>
      <c r="H87" s="53" t="str">
        <f>IF('Výběr družstva'!H88="","",'Výběr družstva'!H88)</f>
        <v/>
      </c>
      <c r="I87" s="53" t="str">
        <f>IF('Výběr družstva'!I88="","",'Výběr družstva'!I88)</f>
        <v/>
      </c>
    </row>
    <row r="88" spans="1:9" ht="27" customHeight="1" x14ac:dyDescent="0.2">
      <c r="A88" s="62" t="str">
        <f>IF('Výběr družstva'!A89="","",'Výběr družstva'!A89)</f>
        <v/>
      </c>
      <c r="B88" s="53" t="str">
        <f>IF('Výběr družstva'!B89="","",'Výběr družstva'!B89)</f>
        <v/>
      </c>
      <c r="C88" s="53" t="str">
        <f>IF('Výběr družstva'!C89="","",'Výběr družstva'!C89)</f>
        <v/>
      </c>
      <c r="D88" s="53" t="str">
        <f>IF('Výběr družstva'!D89="","",'Výběr družstva'!D89)</f>
        <v/>
      </c>
      <c r="E88" s="65" t="str">
        <f>IF('Výběr družstva'!E89="","",'Výběr družstva'!E89)</f>
        <v/>
      </c>
      <c r="F88" s="53" t="str">
        <f>IF('Výběr družstva'!F89="","",'Výběr družstva'!F89)</f>
        <v/>
      </c>
      <c r="G88" s="53" t="str">
        <f>IF('Výběr družstva'!G89="","",'Výběr družstva'!G89)</f>
        <v/>
      </c>
      <c r="H88" s="53" t="str">
        <f>IF('Výběr družstva'!H89="","",'Výběr družstva'!H89)</f>
        <v/>
      </c>
      <c r="I88" s="53" t="str">
        <f>IF('Výběr družstva'!I89="","",'Výběr družstva'!I89)</f>
        <v/>
      </c>
    </row>
    <row r="89" spans="1:9" ht="27" customHeight="1" x14ac:dyDescent="0.2">
      <c r="A89" s="62" t="str">
        <f>IF('Výběr družstva'!A90="","",'Výběr družstva'!A90)</f>
        <v/>
      </c>
      <c r="B89" s="53" t="str">
        <f>IF('Výběr družstva'!B90="","",'Výběr družstva'!B90)</f>
        <v/>
      </c>
      <c r="C89" s="53" t="str">
        <f>IF('Výběr družstva'!C90="","",'Výběr družstva'!C90)</f>
        <v/>
      </c>
      <c r="D89" s="53" t="str">
        <f>IF('Výběr družstva'!D90="","",'Výběr družstva'!D90)</f>
        <v/>
      </c>
      <c r="E89" s="65" t="str">
        <f>IF('Výběr družstva'!E90="","",'Výběr družstva'!E90)</f>
        <v/>
      </c>
      <c r="F89" s="53" t="str">
        <f>IF('Výběr družstva'!F90="","",'Výběr družstva'!F90)</f>
        <v/>
      </c>
      <c r="G89" s="53" t="str">
        <f>IF('Výběr družstva'!G90="","",'Výběr družstva'!G90)</f>
        <v/>
      </c>
      <c r="H89" s="53" t="str">
        <f>IF('Výběr družstva'!H90="","",'Výběr družstva'!H90)</f>
        <v/>
      </c>
      <c r="I89" s="53" t="str">
        <f>IF('Výběr družstva'!I90="","",'Výběr družstva'!I90)</f>
        <v/>
      </c>
    </row>
    <row r="90" spans="1:9" ht="27" customHeight="1" x14ac:dyDescent="0.2">
      <c r="A90" s="62" t="str">
        <f>IF('Výběr družstva'!A91="","",'Výběr družstva'!A91)</f>
        <v/>
      </c>
      <c r="B90" s="53" t="str">
        <f>IF('Výběr družstva'!B91="","",'Výběr družstva'!B91)</f>
        <v/>
      </c>
      <c r="C90" s="53" t="str">
        <f>IF('Výběr družstva'!C91="","",'Výběr družstva'!C91)</f>
        <v/>
      </c>
      <c r="D90" s="53" t="str">
        <f>IF('Výběr družstva'!D91="","",'Výběr družstva'!D91)</f>
        <v/>
      </c>
      <c r="E90" s="65" t="str">
        <f>IF('Výběr družstva'!E91="","",'Výběr družstva'!E91)</f>
        <v/>
      </c>
      <c r="F90" s="53" t="str">
        <f>IF('Výběr družstva'!F91="","",'Výběr družstva'!F91)</f>
        <v/>
      </c>
      <c r="G90" s="53" t="str">
        <f>IF('Výběr družstva'!G91="","",'Výběr družstva'!G91)</f>
        <v/>
      </c>
      <c r="H90" s="53" t="str">
        <f>IF('Výběr družstva'!H91="","",'Výběr družstva'!H91)</f>
        <v/>
      </c>
      <c r="I90" s="53" t="str">
        <f>IF('Výběr družstva'!I91="","",'Výběr družstva'!I91)</f>
        <v/>
      </c>
    </row>
    <row r="91" spans="1:9" ht="27" customHeight="1" x14ac:dyDescent="0.2">
      <c r="A91" s="62" t="str">
        <f>IF('Výběr družstva'!A92="","",'Výběr družstva'!A92)</f>
        <v/>
      </c>
      <c r="B91" s="53" t="str">
        <f>IF('Výběr družstva'!B92="","",'Výběr družstva'!B92)</f>
        <v/>
      </c>
      <c r="C91" s="53" t="str">
        <f>IF('Výběr družstva'!C92="","",'Výběr družstva'!C92)</f>
        <v/>
      </c>
      <c r="D91" s="53" t="str">
        <f>IF('Výběr družstva'!D92="","",'Výběr družstva'!D92)</f>
        <v/>
      </c>
      <c r="E91" s="65" t="str">
        <f>IF('Výběr družstva'!E92="","",'Výběr družstva'!E92)</f>
        <v/>
      </c>
      <c r="F91" s="53" t="str">
        <f>IF('Výběr družstva'!F92="","",'Výběr družstva'!F92)</f>
        <v/>
      </c>
      <c r="G91" s="53" t="str">
        <f>IF('Výběr družstva'!G92="","",'Výběr družstva'!G92)</f>
        <v/>
      </c>
      <c r="H91" s="53" t="str">
        <f>IF('Výběr družstva'!H92="","",'Výběr družstva'!H92)</f>
        <v/>
      </c>
      <c r="I91" s="53" t="str">
        <f>IF('Výběr družstva'!I92="","",'Výběr družstva'!I92)</f>
        <v/>
      </c>
    </row>
    <row r="92" spans="1:9" ht="27" customHeight="1" x14ac:dyDescent="0.2">
      <c r="A92" s="62" t="str">
        <f>IF('Výběr družstva'!A93="","",'Výběr družstva'!A93)</f>
        <v/>
      </c>
      <c r="B92" s="53" t="str">
        <f>IF('Výběr družstva'!B93="","",'Výběr družstva'!B93)</f>
        <v/>
      </c>
      <c r="C92" s="53" t="str">
        <f>IF('Výběr družstva'!C93="","",'Výběr družstva'!C93)</f>
        <v/>
      </c>
      <c r="D92" s="53" t="str">
        <f>IF('Výběr družstva'!D93="","",'Výběr družstva'!D93)</f>
        <v/>
      </c>
      <c r="E92" s="65" t="str">
        <f>IF('Výběr družstva'!E93="","",'Výběr družstva'!E93)</f>
        <v/>
      </c>
      <c r="F92" s="53" t="str">
        <f>IF('Výběr družstva'!F93="","",'Výběr družstva'!F93)</f>
        <v/>
      </c>
      <c r="G92" s="53" t="str">
        <f>IF('Výběr družstva'!G93="","",'Výběr družstva'!G93)</f>
        <v/>
      </c>
      <c r="H92" s="53" t="str">
        <f>IF('Výběr družstva'!H93="","",'Výběr družstva'!H93)</f>
        <v/>
      </c>
      <c r="I92" s="53" t="str">
        <f>IF('Výběr družstva'!I93="","",'Výběr družstva'!I93)</f>
        <v/>
      </c>
    </row>
    <row r="93" spans="1:9" ht="27" customHeight="1" x14ac:dyDescent="0.2">
      <c r="A93" s="62" t="str">
        <f>IF('Výběr družstva'!A94="","",'Výběr družstva'!A94)</f>
        <v/>
      </c>
      <c r="B93" s="53" t="str">
        <f>IF('Výběr družstva'!B94="","",'Výběr družstva'!B94)</f>
        <v/>
      </c>
      <c r="C93" s="53" t="str">
        <f>IF('Výběr družstva'!C94="","",'Výběr družstva'!C94)</f>
        <v/>
      </c>
      <c r="D93" s="53" t="str">
        <f>IF('Výběr družstva'!D94="","",'Výběr družstva'!D94)</f>
        <v/>
      </c>
      <c r="E93" s="65" t="str">
        <f>IF('Výběr družstva'!E94="","",'Výběr družstva'!E94)</f>
        <v/>
      </c>
      <c r="F93" s="53" t="str">
        <f>IF('Výběr družstva'!F94="","",'Výběr družstva'!F94)</f>
        <v/>
      </c>
      <c r="G93" s="53" t="str">
        <f>IF('Výběr družstva'!G94="","",'Výběr družstva'!G94)</f>
        <v/>
      </c>
      <c r="H93" s="53" t="str">
        <f>IF('Výběr družstva'!H94="","",'Výběr družstva'!H94)</f>
        <v/>
      </c>
      <c r="I93" s="53" t="str">
        <f>IF('Výběr družstva'!I94="","",'Výběr družstva'!I94)</f>
        <v/>
      </c>
    </row>
    <row r="94" spans="1:9" ht="27" customHeight="1" x14ac:dyDescent="0.2">
      <c r="A94" s="62" t="str">
        <f>IF('Výběr družstva'!A95="","",'Výběr družstva'!A95)</f>
        <v/>
      </c>
      <c r="B94" s="53" t="str">
        <f>IF('Výběr družstva'!B95="","",'Výběr družstva'!B95)</f>
        <v/>
      </c>
      <c r="C94" s="53" t="str">
        <f>IF('Výběr družstva'!C95="","",'Výběr družstva'!C95)</f>
        <v/>
      </c>
      <c r="D94" s="53" t="str">
        <f>IF('Výběr družstva'!D95="","",'Výběr družstva'!D95)</f>
        <v/>
      </c>
      <c r="E94" s="65" t="str">
        <f>IF('Výběr družstva'!E95="","",'Výběr družstva'!E95)</f>
        <v/>
      </c>
      <c r="F94" s="53" t="str">
        <f>IF('Výběr družstva'!F95="","",'Výběr družstva'!F95)</f>
        <v/>
      </c>
      <c r="G94" s="53" t="str">
        <f>IF('Výběr družstva'!G95="","",'Výběr družstva'!G95)</f>
        <v/>
      </c>
      <c r="H94" s="53" t="str">
        <f>IF('Výběr družstva'!H95="","",'Výběr družstva'!H95)</f>
        <v/>
      </c>
      <c r="I94" s="53" t="str">
        <f>IF('Výběr družstva'!I95="","",'Výběr družstva'!I95)</f>
        <v/>
      </c>
    </row>
    <row r="95" spans="1:9" ht="27" customHeight="1" x14ac:dyDescent="0.2">
      <c r="A95" s="62" t="str">
        <f>IF('Výběr družstva'!A96="","",'Výběr družstva'!A96)</f>
        <v/>
      </c>
      <c r="B95" s="53" t="str">
        <f>IF('Výběr družstva'!B96="","",'Výběr družstva'!B96)</f>
        <v/>
      </c>
      <c r="C95" s="53" t="str">
        <f>IF('Výběr družstva'!C96="","",'Výběr družstva'!C96)</f>
        <v/>
      </c>
      <c r="D95" s="53" t="str">
        <f>IF('Výběr družstva'!D96="","",'Výběr družstva'!D96)</f>
        <v/>
      </c>
      <c r="E95" s="65" t="str">
        <f>IF('Výběr družstva'!E96="","",'Výběr družstva'!E96)</f>
        <v/>
      </c>
      <c r="F95" s="53" t="str">
        <f>IF('Výběr družstva'!F96="","",'Výběr družstva'!F96)</f>
        <v/>
      </c>
      <c r="G95" s="53" t="str">
        <f>IF('Výběr družstva'!G96="","",'Výběr družstva'!G96)</f>
        <v/>
      </c>
      <c r="H95" s="53" t="str">
        <f>IF('Výběr družstva'!H96="","",'Výběr družstva'!H96)</f>
        <v/>
      </c>
      <c r="I95" s="53" t="str">
        <f>IF('Výběr družstva'!I96="","",'Výběr družstva'!I96)</f>
        <v/>
      </c>
    </row>
    <row r="96" spans="1:9" ht="27" customHeight="1" x14ac:dyDescent="0.2">
      <c r="A96" s="62" t="str">
        <f>IF('Výběr družstva'!A97="","",'Výběr družstva'!A97)</f>
        <v/>
      </c>
      <c r="B96" s="53" t="str">
        <f>IF('Výběr družstva'!B97="","",'Výběr družstva'!B97)</f>
        <v/>
      </c>
      <c r="C96" s="53" t="str">
        <f>IF('Výběr družstva'!C97="","",'Výběr družstva'!C97)</f>
        <v/>
      </c>
      <c r="D96" s="53" t="str">
        <f>IF('Výběr družstva'!D97="","",'Výběr družstva'!D97)</f>
        <v/>
      </c>
      <c r="E96" s="65" t="str">
        <f>IF('Výběr družstva'!E97="","",'Výběr družstva'!E97)</f>
        <v/>
      </c>
      <c r="F96" s="53" t="str">
        <f>IF('Výběr družstva'!F97="","",'Výběr družstva'!F97)</f>
        <v/>
      </c>
      <c r="G96" s="53" t="str">
        <f>IF('Výběr družstva'!G97="","",'Výběr družstva'!G97)</f>
        <v/>
      </c>
      <c r="H96" s="53" t="str">
        <f>IF('Výběr družstva'!H97="","",'Výběr družstva'!H97)</f>
        <v/>
      </c>
      <c r="I96" s="53" t="str">
        <f>IF('Výběr družstva'!I97="","",'Výběr družstva'!I97)</f>
        <v/>
      </c>
    </row>
    <row r="97" spans="1:9" ht="27" customHeight="1" x14ac:dyDescent="0.2">
      <c r="A97" s="62" t="str">
        <f>IF('Výběr družstva'!A98="","",'Výběr družstva'!A98)</f>
        <v/>
      </c>
      <c r="B97" s="53" t="str">
        <f>IF('Výběr družstva'!B98="","",'Výběr družstva'!B98)</f>
        <v/>
      </c>
      <c r="C97" s="53" t="str">
        <f>IF('Výběr družstva'!C98="","",'Výběr družstva'!C98)</f>
        <v/>
      </c>
      <c r="D97" s="53" t="str">
        <f>IF('Výběr družstva'!D98="","",'Výběr družstva'!D98)</f>
        <v/>
      </c>
      <c r="E97" s="65" t="str">
        <f>IF('Výběr družstva'!E98="","",'Výběr družstva'!E98)</f>
        <v/>
      </c>
      <c r="F97" s="53" t="str">
        <f>IF('Výběr družstva'!F98="","",'Výběr družstva'!F98)</f>
        <v/>
      </c>
      <c r="G97" s="53" t="str">
        <f>IF('Výběr družstva'!G98="","",'Výběr družstva'!G98)</f>
        <v/>
      </c>
      <c r="H97" s="53" t="str">
        <f>IF('Výběr družstva'!H98="","",'Výběr družstva'!H98)</f>
        <v/>
      </c>
      <c r="I97" s="53" t="str">
        <f>IF('Výběr družstva'!I98="","",'Výběr družstva'!I98)</f>
        <v/>
      </c>
    </row>
    <row r="98" spans="1:9" ht="27" customHeight="1" x14ac:dyDescent="0.2">
      <c r="A98" s="62" t="str">
        <f>IF('Výběr družstva'!A99="","",'Výběr družstva'!A99)</f>
        <v/>
      </c>
      <c r="B98" s="53" t="str">
        <f>IF('Výběr družstva'!B99="","",'Výběr družstva'!B99)</f>
        <v/>
      </c>
      <c r="C98" s="53" t="str">
        <f>IF('Výběr družstva'!C99="","",'Výběr družstva'!C99)</f>
        <v/>
      </c>
      <c r="D98" s="53" t="str">
        <f>IF('Výběr družstva'!D99="","",'Výběr družstva'!D99)</f>
        <v/>
      </c>
      <c r="E98" s="65" t="str">
        <f>IF('Výběr družstva'!E99="","",'Výběr družstva'!E99)</f>
        <v/>
      </c>
      <c r="F98" s="53" t="str">
        <f>IF('Výběr družstva'!F99="","",'Výběr družstva'!F99)</f>
        <v/>
      </c>
      <c r="G98" s="53" t="str">
        <f>IF('Výběr družstva'!G99="","",'Výběr družstva'!G99)</f>
        <v/>
      </c>
      <c r="H98" s="53" t="str">
        <f>IF('Výběr družstva'!H99="","",'Výběr družstva'!H99)</f>
        <v/>
      </c>
      <c r="I98" s="53" t="str">
        <f>IF('Výběr družstva'!I99="","",'Výběr družstva'!I99)</f>
        <v/>
      </c>
    </row>
    <row r="99" spans="1:9" ht="27" customHeight="1" x14ac:dyDescent="0.2">
      <c r="A99" s="62" t="str">
        <f>IF('Výběr družstva'!A100="","",'Výběr družstva'!A100)</f>
        <v/>
      </c>
      <c r="B99" s="53" t="str">
        <f>IF('Výběr družstva'!B100="","",'Výběr družstva'!B100)</f>
        <v/>
      </c>
      <c r="C99" s="53" t="str">
        <f>IF('Výběr družstva'!C100="","",'Výběr družstva'!C100)</f>
        <v/>
      </c>
      <c r="D99" s="53" t="str">
        <f>IF('Výběr družstva'!D100="","",'Výběr družstva'!D100)</f>
        <v/>
      </c>
      <c r="E99" s="65" t="str">
        <f>IF('Výběr družstva'!E100="","",'Výběr družstva'!E100)</f>
        <v/>
      </c>
      <c r="F99" s="53" t="str">
        <f>IF('Výběr družstva'!F100="","",'Výběr družstva'!F100)</f>
        <v/>
      </c>
      <c r="G99" s="53" t="str">
        <f>IF('Výběr družstva'!G100="","",'Výběr družstva'!G100)</f>
        <v/>
      </c>
      <c r="H99" s="53" t="str">
        <f>IF('Výběr družstva'!H100="","",'Výběr družstva'!H100)</f>
        <v/>
      </c>
      <c r="I99" s="53" t="str">
        <f>IF('Výběr družstva'!I100="","",'Výběr družstva'!I100)</f>
        <v/>
      </c>
    </row>
    <row r="100" spans="1:9" ht="27" customHeight="1" x14ac:dyDescent="0.2">
      <c r="A100" s="62" t="str">
        <f>IF('Výběr družstva'!A101="","",'Výběr družstva'!A101)</f>
        <v/>
      </c>
      <c r="B100" s="53" t="str">
        <f>IF('Výběr družstva'!B101="","",'Výběr družstva'!B101)</f>
        <v/>
      </c>
      <c r="C100" s="53" t="str">
        <f>IF('Výběr družstva'!C101="","",'Výběr družstva'!C101)</f>
        <v/>
      </c>
      <c r="D100" s="53" t="str">
        <f>IF('Výběr družstva'!D101="","",'Výběr družstva'!D101)</f>
        <v/>
      </c>
      <c r="E100" s="65" t="str">
        <f>IF('Výběr družstva'!E101="","",'Výběr družstva'!E101)</f>
        <v/>
      </c>
      <c r="F100" s="53" t="str">
        <f>IF('Výběr družstva'!F101="","",'Výběr družstva'!F101)</f>
        <v/>
      </c>
      <c r="G100" s="53" t="str">
        <f>IF('Výběr družstva'!G101="","",'Výběr družstva'!G101)</f>
        <v/>
      </c>
      <c r="H100" s="53" t="str">
        <f>IF('Výběr družstva'!H101="","",'Výběr družstva'!H101)</f>
        <v/>
      </c>
      <c r="I100" s="53" t="str">
        <f>IF('Výběr družstva'!I101="","",'Výběr družstva'!I101)</f>
        <v/>
      </c>
    </row>
    <row r="101" spans="1:9" ht="27" customHeight="1" x14ac:dyDescent="0.2">
      <c r="A101" s="62" t="str">
        <f>IF('Výběr družstva'!A102="","",'Výběr družstva'!A102)</f>
        <v/>
      </c>
      <c r="B101" s="53" t="str">
        <f>IF('Výběr družstva'!B102="","",'Výběr družstva'!B102)</f>
        <v/>
      </c>
      <c r="C101" s="53" t="str">
        <f>IF('Výběr družstva'!C102="","",'Výběr družstva'!C102)</f>
        <v/>
      </c>
      <c r="D101" s="53" t="str">
        <f>IF('Výběr družstva'!D102="","",'Výběr družstva'!D102)</f>
        <v/>
      </c>
      <c r="E101" s="65" t="str">
        <f>IF('Výběr družstva'!E102="","",'Výběr družstva'!E102)</f>
        <v/>
      </c>
      <c r="F101" s="53" t="str">
        <f>IF('Výběr družstva'!F102="","",'Výběr družstva'!F102)</f>
        <v/>
      </c>
      <c r="G101" s="53" t="str">
        <f>IF('Výběr družstva'!G102="","",'Výběr družstva'!G102)</f>
        <v/>
      </c>
      <c r="H101" s="53" t="str">
        <f>IF('Výběr družstva'!H102="","",'Výběr družstva'!H102)</f>
        <v/>
      </c>
      <c r="I101" s="53" t="str">
        <f>IF('Výběr družstva'!I102="","",'Výběr družstva'!I102)</f>
        <v/>
      </c>
    </row>
    <row r="102" spans="1:9" ht="27" customHeight="1" x14ac:dyDescent="0.2">
      <c r="A102" s="62" t="str">
        <f>IF('Výběr družstva'!A103="","",'Výběr družstva'!A103)</f>
        <v/>
      </c>
      <c r="B102" s="53" t="str">
        <f>IF('Výběr družstva'!B103="","",'Výběr družstva'!B103)</f>
        <v/>
      </c>
      <c r="C102" s="53" t="str">
        <f>IF('Výběr družstva'!C103="","",'Výběr družstva'!C103)</f>
        <v/>
      </c>
      <c r="D102" s="53" t="str">
        <f>IF('Výběr družstva'!D103="","",'Výběr družstva'!D103)</f>
        <v/>
      </c>
      <c r="E102" s="65" t="str">
        <f>IF('Výběr družstva'!E103="","",'Výběr družstva'!E103)</f>
        <v/>
      </c>
      <c r="F102" s="53" t="str">
        <f>IF('Výběr družstva'!F103="","",'Výběr družstva'!F103)</f>
        <v/>
      </c>
      <c r="G102" s="53" t="str">
        <f>IF('Výběr družstva'!G103="","",'Výběr družstva'!G103)</f>
        <v/>
      </c>
      <c r="H102" s="53" t="str">
        <f>IF('Výběr družstva'!H103="","",'Výběr družstva'!H103)</f>
        <v/>
      </c>
      <c r="I102" s="53" t="str">
        <f>IF('Výběr družstva'!I103="","",'Výběr družstva'!I103)</f>
        <v/>
      </c>
    </row>
    <row r="103" spans="1:9" ht="27" customHeight="1" x14ac:dyDescent="0.2">
      <c r="A103" s="62" t="str">
        <f>IF('Výběr družstva'!A104="","",'Výběr družstva'!A104)</f>
        <v/>
      </c>
      <c r="B103" s="53" t="str">
        <f>IF('Výběr družstva'!B104="","",'Výběr družstva'!B104)</f>
        <v/>
      </c>
      <c r="C103" s="53" t="str">
        <f>IF('Výběr družstva'!C104="","",'Výběr družstva'!C104)</f>
        <v/>
      </c>
      <c r="D103" s="53" t="str">
        <f>IF('Výběr družstva'!D104="","",'Výběr družstva'!D104)</f>
        <v/>
      </c>
      <c r="E103" s="65" t="str">
        <f>IF('Výběr družstva'!E104="","",'Výběr družstva'!E104)</f>
        <v/>
      </c>
      <c r="F103" s="53" t="str">
        <f>IF('Výběr družstva'!F104="","",'Výběr družstva'!F104)</f>
        <v/>
      </c>
      <c r="G103" s="53" t="str">
        <f>IF('Výběr družstva'!G104="","",'Výběr družstva'!G104)</f>
        <v/>
      </c>
      <c r="H103" s="53" t="str">
        <f>IF('Výběr družstva'!H104="","",'Výběr družstva'!H104)</f>
        <v/>
      </c>
      <c r="I103" s="53" t="str">
        <f>IF('Výběr družstva'!I104="","",'Výběr družstva'!I104)</f>
        <v/>
      </c>
    </row>
    <row r="104" spans="1:9" ht="27" customHeight="1" x14ac:dyDescent="0.2">
      <c r="A104" s="62" t="str">
        <f>IF('Výběr družstva'!A105="","",'Výběr družstva'!A105)</f>
        <v/>
      </c>
      <c r="B104" s="53" t="str">
        <f>IF('Výběr družstva'!B105="","",'Výběr družstva'!B105)</f>
        <v/>
      </c>
      <c r="C104" s="53" t="str">
        <f>IF('Výběr družstva'!C105="","",'Výběr družstva'!C105)</f>
        <v/>
      </c>
      <c r="D104" s="53" t="str">
        <f>IF('Výběr družstva'!D105="","",'Výběr družstva'!D105)</f>
        <v/>
      </c>
      <c r="E104" s="65" t="str">
        <f>IF('Výběr družstva'!E105="","",'Výběr družstva'!E105)</f>
        <v/>
      </c>
      <c r="F104" s="53" t="str">
        <f>IF('Výběr družstva'!F105="","",'Výběr družstva'!F105)</f>
        <v/>
      </c>
      <c r="G104" s="53" t="str">
        <f>IF('Výběr družstva'!G105="","",'Výběr družstva'!G105)</f>
        <v/>
      </c>
      <c r="H104" s="53" t="str">
        <f>IF('Výběr družstva'!H105="","",'Výběr družstva'!H105)</f>
        <v/>
      </c>
      <c r="I104" s="53" t="str">
        <f>IF('Výběr družstva'!I105="","",'Výběr družstva'!I105)</f>
        <v/>
      </c>
    </row>
    <row r="105" spans="1:9" ht="27" customHeight="1" x14ac:dyDescent="0.2">
      <c r="A105" s="62" t="str">
        <f>IF('Výběr družstva'!A106="","",'Výběr družstva'!A106)</f>
        <v/>
      </c>
      <c r="B105" s="53" t="str">
        <f>IF('Výběr družstva'!B106="","",'Výběr družstva'!B106)</f>
        <v/>
      </c>
      <c r="C105" s="53" t="str">
        <f>IF('Výběr družstva'!C106="","",'Výběr družstva'!C106)</f>
        <v/>
      </c>
      <c r="D105" s="53" t="str">
        <f>IF('Výběr družstva'!D106="","",'Výběr družstva'!D106)</f>
        <v/>
      </c>
      <c r="E105" s="65" t="str">
        <f>IF('Výběr družstva'!E106="","",'Výběr družstva'!E106)</f>
        <v/>
      </c>
      <c r="F105" s="53" t="str">
        <f>IF('Výběr družstva'!F106="","",'Výběr družstva'!F106)</f>
        <v/>
      </c>
      <c r="G105" s="53" t="str">
        <f>IF('Výběr družstva'!G106="","",'Výběr družstva'!G106)</f>
        <v/>
      </c>
      <c r="H105" s="53" t="str">
        <f>IF('Výběr družstva'!H106="","",'Výběr družstva'!H106)</f>
        <v/>
      </c>
      <c r="I105" s="53" t="str">
        <f>IF('Výběr družstva'!I106="","",'Výběr družstva'!I106)</f>
        <v/>
      </c>
    </row>
    <row r="106" spans="1:9" ht="27" customHeight="1" x14ac:dyDescent="0.2">
      <c r="A106" s="62" t="str">
        <f>IF('Výběr družstva'!A107="","",'Výběr družstva'!A107)</f>
        <v/>
      </c>
      <c r="B106" s="53" t="str">
        <f>IF('Výběr družstva'!B107="","",'Výběr družstva'!B107)</f>
        <v/>
      </c>
      <c r="C106" s="53" t="str">
        <f>IF('Výběr družstva'!C107="","",'Výběr družstva'!C107)</f>
        <v/>
      </c>
      <c r="D106" s="53" t="str">
        <f>IF('Výběr družstva'!D107="","",'Výběr družstva'!D107)</f>
        <v/>
      </c>
      <c r="E106" s="65" t="str">
        <f>IF('Výběr družstva'!E107="","",'Výběr družstva'!E107)</f>
        <v/>
      </c>
      <c r="F106" s="53" t="str">
        <f>IF('Výběr družstva'!F107="","",'Výběr družstva'!F107)</f>
        <v/>
      </c>
      <c r="G106" s="53" t="str">
        <f>IF('Výběr družstva'!G107="","",'Výběr družstva'!G107)</f>
        <v/>
      </c>
      <c r="H106" s="53" t="str">
        <f>IF('Výběr družstva'!H107="","",'Výběr družstva'!H107)</f>
        <v/>
      </c>
      <c r="I106" s="53" t="str">
        <f>IF('Výběr družstva'!I107="","",'Výběr družstva'!I107)</f>
        <v/>
      </c>
    </row>
    <row r="107" spans="1:9" ht="27" customHeight="1" x14ac:dyDescent="0.2">
      <c r="A107" s="62" t="str">
        <f>IF('Výběr družstva'!A108="","",'Výběr družstva'!A108)</f>
        <v/>
      </c>
      <c r="B107" s="53" t="str">
        <f>IF('Výběr družstva'!B108="","",'Výběr družstva'!B108)</f>
        <v/>
      </c>
      <c r="C107" s="53" t="str">
        <f>IF('Výběr družstva'!C108="","",'Výběr družstva'!C108)</f>
        <v/>
      </c>
      <c r="D107" s="53" t="str">
        <f>IF('Výběr družstva'!D108="","",'Výběr družstva'!D108)</f>
        <v/>
      </c>
      <c r="E107" s="65" t="str">
        <f>IF('Výběr družstva'!E108="","",'Výběr družstva'!E108)</f>
        <v/>
      </c>
      <c r="F107" s="53" t="str">
        <f>IF('Výběr družstva'!F108="","",'Výběr družstva'!F108)</f>
        <v/>
      </c>
      <c r="G107" s="53" t="str">
        <f>IF('Výběr družstva'!G108="","",'Výběr družstva'!G108)</f>
        <v/>
      </c>
      <c r="H107" s="53" t="str">
        <f>IF('Výběr družstva'!H108="","",'Výběr družstva'!H108)</f>
        <v/>
      </c>
      <c r="I107" s="53" t="str">
        <f>IF('Výběr družstva'!I108="","",'Výběr družstva'!I108)</f>
        <v/>
      </c>
    </row>
    <row r="108" spans="1:9" ht="27" customHeight="1" x14ac:dyDescent="0.2">
      <c r="A108" s="62" t="str">
        <f>IF('Výběr družstva'!A109="","",'Výběr družstva'!A109)</f>
        <v/>
      </c>
      <c r="B108" s="53" t="str">
        <f>IF('Výběr družstva'!B109="","",'Výběr družstva'!B109)</f>
        <v/>
      </c>
      <c r="C108" s="53" t="str">
        <f>IF('Výběr družstva'!C109="","",'Výběr družstva'!C109)</f>
        <v/>
      </c>
      <c r="D108" s="53" t="str">
        <f>IF('Výběr družstva'!D109="","",'Výběr družstva'!D109)</f>
        <v/>
      </c>
      <c r="E108" s="65" t="str">
        <f>IF('Výběr družstva'!E109="","",'Výběr družstva'!E109)</f>
        <v/>
      </c>
      <c r="F108" s="53" t="str">
        <f>IF('Výběr družstva'!F109="","",'Výběr družstva'!F109)</f>
        <v/>
      </c>
      <c r="G108" s="53" t="str">
        <f>IF('Výběr družstva'!G109="","",'Výběr družstva'!G109)</f>
        <v/>
      </c>
      <c r="H108" s="53" t="str">
        <f>IF('Výběr družstva'!H109="","",'Výběr družstva'!H109)</f>
        <v/>
      </c>
      <c r="I108" s="53" t="str">
        <f>IF('Výběr družstva'!I109="","",'Výběr družstva'!I109)</f>
        <v/>
      </c>
    </row>
    <row r="109" spans="1:9" ht="27" customHeight="1" x14ac:dyDescent="0.2">
      <c r="A109" s="62" t="str">
        <f>IF('Výběr družstva'!A110="","",'Výběr družstva'!A110)</f>
        <v/>
      </c>
      <c r="B109" s="53" t="str">
        <f>IF('Výběr družstva'!B110="","",'Výběr družstva'!B110)</f>
        <v/>
      </c>
      <c r="C109" s="53" t="str">
        <f>IF('Výběr družstva'!C110="","",'Výběr družstva'!C110)</f>
        <v/>
      </c>
      <c r="D109" s="53" t="str">
        <f>IF('Výběr družstva'!D110="","",'Výběr družstva'!D110)</f>
        <v/>
      </c>
      <c r="E109" s="65" t="str">
        <f>IF('Výběr družstva'!E110="","",'Výběr družstva'!E110)</f>
        <v/>
      </c>
      <c r="F109" s="53" t="str">
        <f>IF('Výběr družstva'!F110="","",'Výběr družstva'!F110)</f>
        <v/>
      </c>
      <c r="G109" s="53" t="str">
        <f>IF('Výběr družstva'!G110="","",'Výběr družstva'!G110)</f>
        <v/>
      </c>
      <c r="H109" s="53" t="str">
        <f>IF('Výběr družstva'!H110="","",'Výběr družstva'!H110)</f>
        <v/>
      </c>
      <c r="I109" s="53" t="str">
        <f>IF('Výběr družstva'!I110="","",'Výběr družstva'!I110)</f>
        <v/>
      </c>
    </row>
    <row r="110" spans="1:9" ht="27" customHeight="1" x14ac:dyDescent="0.2">
      <c r="A110" s="62" t="str">
        <f>IF('Výběr družstva'!A111="","",'Výběr družstva'!A111)</f>
        <v/>
      </c>
      <c r="B110" s="53" t="str">
        <f>IF('Výběr družstva'!B111="","",'Výběr družstva'!B111)</f>
        <v/>
      </c>
      <c r="C110" s="53" t="str">
        <f>IF('Výběr družstva'!C111="","",'Výběr družstva'!C111)</f>
        <v/>
      </c>
      <c r="D110" s="53" t="str">
        <f>IF('Výběr družstva'!D111="","",'Výběr družstva'!D111)</f>
        <v/>
      </c>
      <c r="E110" s="65" t="str">
        <f>IF('Výběr družstva'!E111="","",'Výběr družstva'!E111)</f>
        <v/>
      </c>
      <c r="F110" s="53" t="str">
        <f>IF('Výběr družstva'!F111="","",'Výběr družstva'!F111)</f>
        <v/>
      </c>
      <c r="G110" s="53" t="str">
        <f>IF('Výběr družstva'!G111="","",'Výběr družstva'!G111)</f>
        <v/>
      </c>
      <c r="H110" s="53" t="str">
        <f>IF('Výběr družstva'!H111="","",'Výběr družstva'!H111)</f>
        <v/>
      </c>
      <c r="I110" s="53" t="str">
        <f>IF('Výběr družstva'!I111="","",'Výběr družstva'!I111)</f>
        <v/>
      </c>
    </row>
    <row r="111" spans="1:9" ht="27" customHeight="1" x14ac:dyDescent="0.2">
      <c r="A111" s="62" t="str">
        <f>IF('Výběr družstva'!A112="","",'Výběr družstva'!A112)</f>
        <v/>
      </c>
      <c r="B111" s="53" t="str">
        <f>IF('Výběr družstva'!B112="","",'Výběr družstva'!B112)</f>
        <v/>
      </c>
      <c r="C111" s="53" t="str">
        <f>IF('Výběr družstva'!C112="","",'Výběr družstva'!C112)</f>
        <v/>
      </c>
      <c r="D111" s="53" t="str">
        <f>IF('Výběr družstva'!D112="","",'Výběr družstva'!D112)</f>
        <v/>
      </c>
      <c r="E111" s="65" t="str">
        <f>IF('Výběr družstva'!E112="","",'Výběr družstva'!E112)</f>
        <v/>
      </c>
      <c r="F111" s="53" t="str">
        <f>IF('Výběr družstva'!F112="","",'Výběr družstva'!F112)</f>
        <v/>
      </c>
      <c r="G111" s="53" t="str">
        <f>IF('Výběr družstva'!G112="","",'Výběr družstva'!G112)</f>
        <v/>
      </c>
      <c r="H111" s="53" t="str">
        <f>IF('Výběr družstva'!H112="","",'Výběr družstva'!H112)</f>
        <v/>
      </c>
      <c r="I111" s="53" t="str">
        <f>IF('Výběr družstva'!I112="","",'Výběr družstva'!I112)</f>
        <v/>
      </c>
    </row>
    <row r="112" spans="1:9" ht="27" customHeight="1" x14ac:dyDescent="0.2">
      <c r="A112" s="62" t="str">
        <f>IF('Výběr družstva'!A113="","",'Výběr družstva'!A113)</f>
        <v/>
      </c>
      <c r="B112" s="53" t="str">
        <f>IF('Výběr družstva'!B113="","",'Výběr družstva'!B113)</f>
        <v/>
      </c>
      <c r="C112" s="53" t="str">
        <f>IF('Výběr družstva'!C113="","",'Výběr družstva'!C113)</f>
        <v/>
      </c>
      <c r="D112" s="53" t="str">
        <f>IF('Výběr družstva'!D113="","",'Výběr družstva'!D113)</f>
        <v/>
      </c>
      <c r="E112" s="65" t="str">
        <f>IF('Výběr družstva'!E113="","",'Výběr družstva'!E113)</f>
        <v/>
      </c>
      <c r="F112" s="53" t="str">
        <f>IF('Výběr družstva'!F113="","",'Výběr družstva'!F113)</f>
        <v/>
      </c>
      <c r="G112" s="53" t="str">
        <f>IF('Výběr družstva'!G113="","",'Výběr družstva'!G113)</f>
        <v/>
      </c>
      <c r="H112" s="53" t="str">
        <f>IF('Výběr družstva'!H113="","",'Výběr družstva'!H113)</f>
        <v/>
      </c>
      <c r="I112" s="53" t="str">
        <f>IF('Výběr družstva'!I113="","",'Výběr družstva'!I113)</f>
        <v/>
      </c>
    </row>
    <row r="113" spans="1:9" ht="27" customHeight="1" x14ac:dyDescent="0.2">
      <c r="A113" s="62" t="str">
        <f>IF('Výběr družstva'!A114="","",'Výběr družstva'!A114)</f>
        <v/>
      </c>
      <c r="B113" s="53" t="str">
        <f>IF('Výběr družstva'!B114="","",'Výběr družstva'!B114)</f>
        <v/>
      </c>
      <c r="C113" s="53" t="str">
        <f>IF('Výběr družstva'!C114="","",'Výběr družstva'!C114)</f>
        <v/>
      </c>
      <c r="D113" s="53" t="str">
        <f>IF('Výběr družstva'!D114="","",'Výběr družstva'!D114)</f>
        <v/>
      </c>
      <c r="E113" s="65" t="str">
        <f>IF('Výběr družstva'!E114="","",'Výběr družstva'!E114)</f>
        <v/>
      </c>
      <c r="F113" s="53" t="str">
        <f>IF('Výběr družstva'!F114="","",'Výběr družstva'!F114)</f>
        <v/>
      </c>
      <c r="G113" s="53" t="str">
        <f>IF('Výběr družstva'!G114="","",'Výběr družstva'!G114)</f>
        <v/>
      </c>
      <c r="H113" s="53" t="str">
        <f>IF('Výběr družstva'!H114="","",'Výběr družstva'!H114)</f>
        <v/>
      </c>
      <c r="I113" s="53" t="str">
        <f>IF('Výběr družstva'!I114="","",'Výběr družstva'!I114)</f>
        <v/>
      </c>
    </row>
    <row r="114" spans="1:9" ht="27" customHeight="1" x14ac:dyDescent="0.2">
      <c r="A114" s="62" t="str">
        <f>IF('Výběr družstva'!A115="","",'Výběr družstva'!A115)</f>
        <v/>
      </c>
      <c r="B114" s="53" t="str">
        <f>IF('Výběr družstva'!B115="","",'Výběr družstva'!B115)</f>
        <v/>
      </c>
      <c r="C114" s="53" t="str">
        <f>IF('Výběr družstva'!C115="","",'Výběr družstva'!C115)</f>
        <v/>
      </c>
      <c r="D114" s="53" t="str">
        <f>IF('Výběr družstva'!D115="","",'Výběr družstva'!D115)</f>
        <v/>
      </c>
      <c r="E114" s="65" t="str">
        <f>IF('Výběr družstva'!E115="","",'Výběr družstva'!E115)</f>
        <v/>
      </c>
      <c r="F114" s="53" t="str">
        <f>IF('Výběr družstva'!F115="","",'Výběr družstva'!F115)</f>
        <v/>
      </c>
      <c r="G114" s="53" t="str">
        <f>IF('Výběr družstva'!G115="","",'Výběr družstva'!G115)</f>
        <v/>
      </c>
      <c r="H114" s="53" t="str">
        <f>IF('Výběr družstva'!H115="","",'Výběr družstva'!H115)</f>
        <v/>
      </c>
      <c r="I114" s="53" t="str">
        <f>IF('Výběr družstva'!I115="","",'Výběr družstva'!I115)</f>
        <v/>
      </c>
    </row>
    <row r="115" spans="1:9" ht="27" customHeight="1" x14ac:dyDescent="0.2">
      <c r="A115" s="62" t="str">
        <f>IF('Výběr družstva'!A116="","",'Výběr družstva'!A116)</f>
        <v/>
      </c>
      <c r="B115" s="53" t="str">
        <f>IF('Výběr družstva'!B116="","",'Výběr družstva'!B116)</f>
        <v/>
      </c>
      <c r="C115" s="53" t="str">
        <f>IF('Výběr družstva'!C116="","",'Výběr družstva'!C116)</f>
        <v/>
      </c>
      <c r="D115" s="53" t="str">
        <f>IF('Výběr družstva'!D116="","",'Výběr družstva'!D116)</f>
        <v/>
      </c>
      <c r="E115" s="65" t="str">
        <f>IF('Výběr družstva'!E116="","",'Výběr družstva'!E116)</f>
        <v/>
      </c>
      <c r="F115" s="53" t="str">
        <f>IF('Výběr družstva'!F116="","",'Výběr družstva'!F116)</f>
        <v/>
      </c>
      <c r="G115" s="53" t="str">
        <f>IF('Výběr družstva'!G116="","",'Výběr družstva'!G116)</f>
        <v/>
      </c>
      <c r="H115" s="53" t="str">
        <f>IF('Výběr družstva'!H116="","",'Výběr družstva'!H116)</f>
        <v/>
      </c>
      <c r="I115" s="53" t="str">
        <f>IF('Výběr družstva'!I116="","",'Výběr družstva'!I116)</f>
        <v/>
      </c>
    </row>
    <row r="116" spans="1:9" ht="27" customHeight="1" x14ac:dyDescent="0.2">
      <c r="A116" s="62" t="str">
        <f>IF('Výběr družstva'!A117="","",'Výběr družstva'!A117)</f>
        <v/>
      </c>
      <c r="B116" s="53" t="str">
        <f>IF('Výběr družstva'!B117="","",'Výběr družstva'!B117)</f>
        <v/>
      </c>
      <c r="C116" s="53" t="str">
        <f>IF('Výběr družstva'!C117="","",'Výběr družstva'!C117)</f>
        <v/>
      </c>
      <c r="D116" s="53" t="str">
        <f>IF('Výběr družstva'!D117="","",'Výběr družstva'!D117)</f>
        <v/>
      </c>
      <c r="E116" s="65" t="str">
        <f>IF('Výběr družstva'!E117="","",'Výběr družstva'!E117)</f>
        <v/>
      </c>
      <c r="F116" s="53" t="str">
        <f>IF('Výběr družstva'!F117="","",'Výběr družstva'!F117)</f>
        <v/>
      </c>
      <c r="G116" s="53" t="str">
        <f>IF('Výběr družstva'!G117="","",'Výběr družstva'!G117)</f>
        <v/>
      </c>
      <c r="H116" s="53" t="str">
        <f>IF('Výběr družstva'!H117="","",'Výběr družstva'!H117)</f>
        <v/>
      </c>
      <c r="I116" s="53" t="str">
        <f>IF('Výběr družstva'!I117="","",'Výběr družstva'!I117)</f>
        <v/>
      </c>
    </row>
    <row r="117" spans="1:9" ht="27" customHeight="1" x14ac:dyDescent="0.2">
      <c r="A117" s="62" t="str">
        <f>IF('Výběr družstva'!A118="","",'Výběr družstva'!A118)</f>
        <v/>
      </c>
      <c r="B117" s="53" t="str">
        <f>IF('Výběr družstva'!B118="","",'Výběr družstva'!B118)</f>
        <v/>
      </c>
      <c r="C117" s="53" t="str">
        <f>IF('Výběr družstva'!C118="","",'Výběr družstva'!C118)</f>
        <v/>
      </c>
      <c r="D117" s="53" t="str">
        <f>IF('Výběr družstva'!D118="","",'Výběr družstva'!D118)</f>
        <v/>
      </c>
      <c r="E117" s="65" t="str">
        <f>IF('Výběr družstva'!E118="","",'Výběr družstva'!E118)</f>
        <v/>
      </c>
      <c r="F117" s="53" t="str">
        <f>IF('Výběr družstva'!F118="","",'Výběr družstva'!F118)</f>
        <v/>
      </c>
      <c r="G117" s="53" t="str">
        <f>IF('Výběr družstva'!G118="","",'Výběr družstva'!G118)</f>
        <v/>
      </c>
      <c r="H117" s="53" t="str">
        <f>IF('Výběr družstva'!H118="","",'Výběr družstva'!H118)</f>
        <v/>
      </c>
      <c r="I117" s="53" t="str">
        <f>IF('Výběr družstva'!I118="","",'Výběr družstva'!I118)</f>
        <v/>
      </c>
    </row>
    <row r="118" spans="1:9" ht="27" customHeight="1" x14ac:dyDescent="0.2">
      <c r="A118" s="62" t="str">
        <f>IF('Výběr družstva'!A119="","",'Výběr družstva'!A119)</f>
        <v/>
      </c>
      <c r="B118" s="53" t="str">
        <f>IF('Výběr družstva'!B119="","",'Výběr družstva'!B119)</f>
        <v/>
      </c>
      <c r="C118" s="53" t="str">
        <f>IF('Výběr družstva'!C119="","",'Výběr družstva'!C119)</f>
        <v/>
      </c>
      <c r="D118" s="53" t="str">
        <f>IF('Výběr družstva'!D119="","",'Výběr družstva'!D119)</f>
        <v/>
      </c>
      <c r="E118" s="65" t="str">
        <f>IF('Výběr družstva'!E119="","",'Výběr družstva'!E119)</f>
        <v/>
      </c>
      <c r="F118" s="53" t="str">
        <f>IF('Výběr družstva'!F119="","",'Výběr družstva'!F119)</f>
        <v/>
      </c>
      <c r="G118" s="53" t="str">
        <f>IF('Výběr družstva'!G119="","",'Výběr družstva'!G119)</f>
        <v/>
      </c>
      <c r="H118" s="53" t="str">
        <f>IF('Výběr družstva'!H119="","",'Výběr družstva'!H119)</f>
        <v/>
      </c>
      <c r="I118" s="53" t="str">
        <f>IF('Výběr družstva'!I119="","",'Výběr družstva'!I119)</f>
        <v/>
      </c>
    </row>
    <row r="119" spans="1:9" ht="27" customHeight="1" x14ac:dyDescent="0.2">
      <c r="A119" s="62" t="str">
        <f>IF('Výběr družstva'!A120="","",'Výběr družstva'!A120)</f>
        <v/>
      </c>
      <c r="B119" s="53" t="str">
        <f>IF('Výběr družstva'!B120="","",'Výběr družstva'!B120)</f>
        <v/>
      </c>
      <c r="C119" s="53" t="str">
        <f>IF('Výběr družstva'!C120="","",'Výběr družstva'!C120)</f>
        <v/>
      </c>
      <c r="D119" s="53" t="str">
        <f>IF('Výběr družstva'!D120="","",'Výběr družstva'!D120)</f>
        <v/>
      </c>
      <c r="E119" s="65" t="str">
        <f>IF('Výběr družstva'!E120="","",'Výběr družstva'!E120)</f>
        <v/>
      </c>
      <c r="F119" s="53" t="str">
        <f>IF('Výběr družstva'!F120="","",'Výběr družstva'!F120)</f>
        <v/>
      </c>
      <c r="G119" s="53" t="str">
        <f>IF('Výběr družstva'!G120="","",'Výběr družstva'!G120)</f>
        <v/>
      </c>
      <c r="H119" s="53" t="str">
        <f>IF('Výběr družstva'!H120="","",'Výběr družstva'!H120)</f>
        <v/>
      </c>
      <c r="I119" s="53" t="str">
        <f>IF('Výběr družstva'!I120="","",'Výběr družstva'!I120)</f>
        <v/>
      </c>
    </row>
    <row r="120" spans="1:9" ht="27" customHeight="1" x14ac:dyDescent="0.2">
      <c r="A120" s="63"/>
      <c r="B120" s="54"/>
      <c r="C120" s="54"/>
      <c r="D120" s="54"/>
      <c r="E120" s="66"/>
      <c r="F120" s="54"/>
      <c r="G120" s="54"/>
      <c r="H120" s="54"/>
      <c r="I120" s="54"/>
    </row>
  </sheetData>
  <mergeCells count="3">
    <mergeCell ref="A1:I1"/>
    <mergeCell ref="B3:D3"/>
    <mergeCell ref="G3:I3"/>
  </mergeCells>
  <conditionalFormatting sqref="I6:I120">
    <cfRule type="containsText" dxfId="2" priority="1" operator="containsText" text="Odehráno"/>
    <cfRule type="containsText" dxfId="1" priority="2" operator="containsText" text="Dnes"/>
    <cfRule type="containsText" dxfId="0" priority="3" operator="containsText" text="Nadcházející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Rozpis zápasů 26-27</vt:lpstr>
      <vt:lpstr>Seznam zápasů</vt:lpstr>
      <vt:lpstr>Data družstev</vt:lpstr>
      <vt:lpstr>Výběr družstva</vt:lpstr>
      <vt:lpstr>Tisk družstva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Ondřej Zahradníček</cp:lastModifiedBy>
  <dcterms:created xsi:type="dcterms:W3CDTF">2026-09-07T12:19:06Z</dcterms:created>
  <dcterms:modified xsi:type="dcterms:W3CDTF">2026-09-07T12:19:06Z</dcterms:modified>
</cp:coreProperties>
</file>